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3EAA56A-BCD5-40E4-AD3E-809A01722A75}" xr6:coauthVersionLast="47" xr6:coauthVersionMax="47" xr10:uidLastSave="{00000000-0000-0000-0000-000000000000}"/>
  <bookViews>
    <workbookView xWindow="28680" yWindow="-120" windowWidth="29040" windowHeight="15720" tabRatio="838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Формування'!$A$1:$H$125</definedName>
    <definedName name="_xlnm.Print_Area" localSheetId="2">'Розшифровка 2 до формування'!$A$1:$H$219</definedName>
    <definedName name="_xlnm.Print_Area" localSheetId="4">'Розшифровка за джерелами '!$A$1:$AB$19</definedName>
    <definedName name="_xlnm.Print_Area" localSheetId="3">'Розшифровка кап'!$A$1:$G$13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5" i="26" l="1"/>
  <c r="G215" i="26"/>
  <c r="H210" i="26"/>
  <c r="G210" i="26"/>
  <c r="H208" i="26"/>
  <c r="G208" i="26"/>
  <c r="H207" i="26"/>
  <c r="G207" i="26"/>
  <c r="H206" i="26"/>
  <c r="G206" i="26"/>
  <c r="H205" i="26"/>
  <c r="G205" i="26"/>
  <c r="H204" i="26"/>
  <c r="G204" i="26"/>
  <c r="H203" i="26"/>
  <c r="G203" i="26"/>
  <c r="H202" i="26"/>
  <c r="G202" i="26"/>
  <c r="H201" i="26"/>
  <c r="G201" i="26"/>
  <c r="H200" i="26"/>
  <c r="G200" i="26"/>
  <c r="H199" i="26"/>
  <c r="G199" i="26"/>
  <c r="H198" i="26"/>
  <c r="G198" i="26"/>
  <c r="H195" i="26"/>
  <c r="G195" i="26"/>
  <c r="H193" i="26"/>
  <c r="G193" i="26"/>
  <c r="H190" i="26"/>
  <c r="G190" i="26"/>
  <c r="H186" i="26"/>
  <c r="G186" i="26"/>
  <c r="H182" i="26"/>
  <c r="G182" i="26"/>
  <c r="H181" i="26"/>
  <c r="G181" i="26"/>
  <c r="H180" i="26"/>
  <c r="G180" i="26"/>
  <c r="H177" i="26"/>
  <c r="G177" i="26"/>
  <c r="H175" i="26"/>
  <c r="G175" i="26"/>
  <c r="H171" i="26"/>
  <c r="G171" i="26"/>
  <c r="H170" i="26"/>
  <c r="G170" i="26"/>
  <c r="H168" i="26"/>
  <c r="G168" i="26"/>
  <c r="H167" i="26"/>
  <c r="G167" i="26"/>
  <c r="H165" i="26"/>
  <c r="H163" i="26"/>
  <c r="G163" i="26"/>
  <c r="H162" i="26"/>
  <c r="G162" i="26"/>
  <c r="H159" i="26"/>
  <c r="G159" i="26"/>
  <c r="H158" i="26"/>
  <c r="G158" i="26"/>
  <c r="H157" i="26"/>
  <c r="G157" i="26"/>
  <c r="H156" i="26"/>
  <c r="G156" i="26"/>
  <c r="H155" i="26"/>
  <c r="G155" i="26"/>
  <c r="H154" i="26"/>
  <c r="G154" i="26"/>
  <c r="H151" i="26"/>
  <c r="G151" i="26"/>
  <c r="H149" i="26"/>
  <c r="G149" i="26"/>
  <c r="H148" i="26"/>
  <c r="G148" i="26"/>
  <c r="H147" i="26"/>
  <c r="G147" i="26"/>
  <c r="H146" i="26"/>
  <c r="G146" i="26"/>
  <c r="H143" i="26"/>
  <c r="G143" i="26"/>
  <c r="H142" i="26"/>
  <c r="G142" i="26"/>
  <c r="H141" i="26"/>
  <c r="G141" i="26"/>
  <c r="H140" i="26"/>
  <c r="G140" i="26"/>
  <c r="H135" i="26"/>
  <c r="G135" i="26"/>
  <c r="H134" i="26"/>
  <c r="G134" i="26"/>
  <c r="H133" i="26"/>
  <c r="G133" i="26"/>
  <c r="H132" i="26"/>
  <c r="G132" i="26"/>
  <c r="H129" i="26"/>
  <c r="G129" i="26"/>
  <c r="H128" i="26"/>
  <c r="G128" i="26"/>
  <c r="H127" i="26"/>
  <c r="G127" i="26"/>
  <c r="H126" i="26"/>
  <c r="G126" i="26"/>
  <c r="H125" i="26"/>
  <c r="G125" i="26"/>
  <c r="H120" i="26"/>
  <c r="G120" i="26"/>
  <c r="H119" i="26"/>
  <c r="G119" i="26"/>
  <c r="H118" i="26"/>
  <c r="G118" i="26"/>
  <c r="H115" i="26"/>
  <c r="G115" i="26"/>
  <c r="H110" i="26"/>
  <c r="G110" i="26"/>
  <c r="H107" i="26"/>
  <c r="G107" i="26"/>
  <c r="H105" i="26"/>
  <c r="G105" i="26"/>
  <c r="H104" i="26"/>
  <c r="G104" i="26"/>
  <c r="H103" i="26"/>
  <c r="G103" i="26"/>
  <c r="H102" i="26"/>
  <c r="G102" i="26"/>
  <c r="H101" i="26"/>
  <c r="G101" i="26"/>
  <c r="H100" i="26"/>
  <c r="G100" i="26"/>
  <c r="H97" i="26"/>
  <c r="G97" i="26"/>
  <c r="H95" i="26"/>
  <c r="G95" i="26"/>
  <c r="H94" i="26"/>
  <c r="G94" i="26"/>
  <c r="H93" i="26"/>
  <c r="G93" i="26"/>
  <c r="H91" i="26"/>
  <c r="G91" i="26"/>
  <c r="H90" i="26"/>
  <c r="G90" i="26"/>
  <c r="H87" i="26"/>
  <c r="G87" i="26"/>
  <c r="H85" i="26"/>
  <c r="G85" i="26"/>
  <c r="H84" i="26"/>
  <c r="G84" i="26"/>
  <c r="H83" i="26"/>
  <c r="G83" i="26"/>
  <c r="H82" i="26"/>
  <c r="G82" i="26"/>
  <c r="H76" i="26"/>
  <c r="G76" i="26"/>
  <c r="H75" i="26"/>
  <c r="G75" i="26"/>
  <c r="H74" i="26"/>
  <c r="G74" i="26"/>
  <c r="H73" i="26"/>
  <c r="G73" i="26"/>
  <c r="H72" i="26"/>
  <c r="G72" i="26"/>
  <c r="H71" i="26"/>
  <c r="G71" i="26"/>
  <c r="H69" i="26"/>
  <c r="G69" i="26"/>
  <c r="H68" i="26"/>
  <c r="G68" i="26"/>
  <c r="H67" i="26"/>
  <c r="G67" i="26"/>
  <c r="H64" i="26"/>
  <c r="G64" i="26"/>
  <c r="H63" i="26"/>
  <c r="G63" i="26"/>
  <c r="H62" i="26"/>
  <c r="G62" i="26"/>
  <c r="H61" i="26"/>
  <c r="G61" i="26"/>
  <c r="H59" i="26"/>
  <c r="G59" i="26"/>
  <c r="H58" i="26"/>
  <c r="G58" i="26"/>
  <c r="H57" i="26"/>
  <c r="G57" i="26"/>
  <c r="H56" i="26"/>
  <c r="G56" i="26"/>
  <c r="H55" i="26"/>
  <c r="G55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H122" i="22"/>
  <c r="G122" i="22"/>
  <c r="H121" i="22"/>
  <c r="G121" i="22"/>
  <c r="H120" i="22"/>
  <c r="G120" i="22"/>
  <c r="H119" i="22"/>
  <c r="G119" i="22"/>
  <c r="H118" i="22"/>
  <c r="G118" i="22"/>
  <c r="H117" i="22"/>
  <c r="G117" i="22"/>
  <c r="H116" i="22"/>
  <c r="G116" i="22"/>
  <c r="H115" i="22"/>
  <c r="G115" i="22"/>
  <c r="H114" i="22"/>
  <c r="G114" i="22"/>
  <c r="H113" i="22"/>
  <c r="G113" i="22"/>
  <c r="H112" i="22"/>
  <c r="G112" i="22"/>
  <c r="H111" i="22"/>
  <c r="G111" i="22"/>
  <c r="H109" i="22"/>
  <c r="G109" i="22"/>
  <c r="H108" i="22"/>
  <c r="G108" i="22"/>
  <c r="H98" i="22"/>
  <c r="G98" i="22"/>
  <c r="H97" i="22"/>
  <c r="G97" i="22"/>
  <c r="H96" i="22"/>
  <c r="G96" i="22"/>
  <c r="H95" i="22"/>
  <c r="G95" i="22"/>
  <c r="C66" i="14" l="1"/>
  <c r="F59" i="14"/>
  <c r="F55" i="14"/>
  <c r="F46" i="14"/>
  <c r="F92" i="14" s="1"/>
  <c r="F45" i="14"/>
  <c r="E49" i="14"/>
  <c r="D49" i="14"/>
  <c r="F49" i="14" s="1"/>
  <c r="E48" i="14"/>
  <c r="D48" i="14"/>
  <c r="F48" i="14" s="1"/>
  <c r="E47" i="14"/>
  <c r="D47" i="14"/>
  <c r="D66" i="14" s="1"/>
  <c r="F66" i="14" s="1"/>
  <c r="E46" i="14"/>
  <c r="E92" i="14" s="1"/>
  <c r="D46" i="14"/>
  <c r="D92" i="14" s="1"/>
  <c r="E45" i="14"/>
  <c r="D45" i="14"/>
  <c r="C49" i="14"/>
  <c r="C48" i="14"/>
  <c r="C47" i="14"/>
  <c r="C46" i="14"/>
  <c r="C92" i="14" s="1"/>
  <c r="C45" i="14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26" i="22"/>
  <c r="G26" i="22"/>
  <c r="E23" i="22"/>
  <c r="F47" i="14" l="1"/>
  <c r="M11" i="26"/>
  <c r="L11" i="26"/>
  <c r="M12" i="26"/>
  <c r="D9" i="26" l="1"/>
  <c r="D30" i="26"/>
  <c r="M27" i="26"/>
  <c r="N26" i="26"/>
  <c r="M26" i="26"/>
  <c r="N25" i="26"/>
  <c r="M25" i="26"/>
  <c r="L25" i="26"/>
  <c r="L26" i="26"/>
  <c r="N19" i="26"/>
  <c r="M19" i="26"/>
  <c r="N18" i="26"/>
  <c r="M18" i="26"/>
  <c r="M31" i="26" s="1"/>
  <c r="L19" i="26"/>
  <c r="L18" i="26"/>
  <c r="L31" i="26" l="1"/>
  <c r="M32" i="26"/>
  <c r="D8" i="26"/>
  <c r="N13" i="26"/>
  <c r="N12" i="26"/>
  <c r="N32" i="26" s="1"/>
  <c r="N11" i="26"/>
  <c r="N31" i="26" s="1"/>
  <c r="E139" i="26"/>
  <c r="E30" i="26"/>
  <c r="E9" i="26"/>
  <c r="M13" i="26"/>
  <c r="M33" i="26" s="1"/>
  <c r="E81" i="26"/>
  <c r="E80" i="26" l="1"/>
  <c r="H81" i="26"/>
  <c r="G81" i="26"/>
  <c r="E8" i="26"/>
  <c r="D64" i="14" l="1"/>
  <c r="D57" i="14"/>
  <c r="D52" i="14"/>
  <c r="D25" i="14"/>
  <c r="D22" i="14"/>
  <c r="D42" i="14" s="1"/>
  <c r="D16" i="14"/>
  <c r="D9" i="14"/>
  <c r="D15" i="14" s="1"/>
  <c r="D31" i="14" s="1"/>
  <c r="D36" i="14" s="1"/>
  <c r="D39" i="14" s="1"/>
  <c r="D40" i="14" s="1"/>
  <c r="D68" i="14" l="1"/>
  <c r="D43" i="14"/>
  <c r="F110" i="22"/>
  <c r="F93" i="22"/>
  <c r="F68" i="22"/>
  <c r="F45" i="22"/>
  <c r="F35" i="22"/>
  <c r="F153" i="26"/>
  <c r="F54" i="22"/>
  <c r="F51" i="22"/>
  <c r="F50" i="22"/>
  <c r="F49" i="22"/>
  <c r="F30" i="22"/>
  <c r="F36" i="22"/>
  <c r="F32" i="22"/>
  <c r="F31" i="22"/>
  <c r="D103" i="14"/>
  <c r="D102" i="14"/>
  <c r="D101" i="14"/>
  <c r="D96" i="14"/>
  <c r="F102" i="14"/>
  <c r="F152" i="26" l="1"/>
  <c r="F29" i="22"/>
  <c r="G9" i="24"/>
  <c r="X11" i="27"/>
  <c r="Y11" i="27"/>
  <c r="Z11" i="27"/>
  <c r="AB11" i="27" s="1"/>
  <c r="T8" i="27"/>
  <c r="E6" i="24"/>
  <c r="F131" i="26"/>
  <c r="F197" i="26"/>
  <c r="AA11" i="27" l="1"/>
  <c r="F130" i="26"/>
  <c r="F176" i="26"/>
  <c r="F179" i="26"/>
  <c r="F174" i="26" l="1"/>
  <c r="H176" i="26"/>
  <c r="G176" i="26"/>
  <c r="F11" i="22"/>
  <c r="F23" i="22"/>
  <c r="F161" i="26"/>
  <c r="F66" i="26"/>
  <c r="F214" i="26"/>
  <c r="D214" i="26"/>
  <c r="D213" i="26" s="1"/>
  <c r="D211" i="26" s="1"/>
  <c r="F213" i="26" l="1"/>
  <c r="H214" i="26"/>
  <c r="G214" i="26"/>
  <c r="H66" i="26"/>
  <c r="G66" i="26"/>
  <c r="H174" i="26"/>
  <c r="G174" i="26"/>
  <c r="F160" i="26"/>
  <c r="H161" i="26"/>
  <c r="G161" i="26"/>
  <c r="F117" i="26"/>
  <c r="F150" i="26" l="1"/>
  <c r="H160" i="26"/>
  <c r="G160" i="26"/>
  <c r="F211" i="26"/>
  <c r="H213" i="26"/>
  <c r="G213" i="26"/>
  <c r="F145" i="26"/>
  <c r="F99" i="26"/>
  <c r="H211" i="26" l="1"/>
  <c r="G211" i="26"/>
  <c r="H99" i="26"/>
  <c r="G99" i="26"/>
  <c r="E209" i="26"/>
  <c r="E197" i="26"/>
  <c r="E117" i="26"/>
  <c r="E196" i="26" l="1"/>
  <c r="E194" i="26" s="1"/>
  <c r="H197" i="26"/>
  <c r="G197" i="26"/>
  <c r="H209" i="26"/>
  <c r="G209" i="26"/>
  <c r="H117" i="26"/>
  <c r="G117" i="26"/>
  <c r="E87" i="22"/>
  <c r="G79" i="22"/>
  <c r="H79" i="22"/>
  <c r="O8" i="27" l="1"/>
  <c r="O13" i="27" s="1"/>
  <c r="C6" i="24"/>
  <c r="D208" i="26"/>
  <c r="D197" i="26"/>
  <c r="D192" i="26"/>
  <c r="D190" i="26"/>
  <c r="D189" i="26" s="1"/>
  <c r="D185" i="26"/>
  <c r="D183" i="26" s="1"/>
  <c r="D179" i="26"/>
  <c r="D178" i="26" s="1"/>
  <c r="D174" i="26"/>
  <c r="D169" i="26"/>
  <c r="D166" i="26"/>
  <c r="D153" i="26"/>
  <c r="D152" i="26" s="1"/>
  <c r="D150" i="26" s="1"/>
  <c r="D145" i="26"/>
  <c r="D144" i="26" s="1"/>
  <c r="D139" i="26"/>
  <c r="D138" i="26" s="1"/>
  <c r="D124" i="26"/>
  <c r="D123" i="26" s="1"/>
  <c r="D121" i="26" s="1"/>
  <c r="D117" i="26"/>
  <c r="D116" i="26" s="1"/>
  <c r="D114" i="26"/>
  <c r="D113" i="26" s="1"/>
  <c r="D109" i="26"/>
  <c r="D108" i="26" s="1"/>
  <c r="D106" i="26"/>
  <c r="D99" i="26"/>
  <c r="D98" i="26" s="1"/>
  <c r="D92" i="26"/>
  <c r="D89" i="26"/>
  <c r="D86" i="26"/>
  <c r="D80" i="26"/>
  <c r="D70" i="26"/>
  <c r="D60" i="26"/>
  <c r="L21" i="26" s="1"/>
  <c r="D54" i="26"/>
  <c r="L17" i="26" s="1"/>
  <c r="D110" i="22"/>
  <c r="D93" i="22"/>
  <c r="D87" i="22"/>
  <c r="D84" i="22"/>
  <c r="D60" i="22"/>
  <c r="D54" i="22"/>
  <c r="D51" i="22"/>
  <c r="D50" i="22"/>
  <c r="D49" i="22"/>
  <c r="D44" i="22"/>
  <c r="D37" i="22"/>
  <c r="D36" i="22"/>
  <c r="D35" i="22"/>
  <c r="D33" i="22"/>
  <c r="D32" i="22"/>
  <c r="D30" i="22"/>
  <c r="D23" i="22"/>
  <c r="D21" i="22"/>
  <c r="D11" i="22"/>
  <c r="D7" i="22"/>
  <c r="C103" i="14"/>
  <c r="C102" i="14"/>
  <c r="C101" i="14"/>
  <c r="C96" i="14"/>
  <c r="C88" i="14"/>
  <c r="C70" i="14"/>
  <c r="C64" i="14"/>
  <c r="C57" i="14"/>
  <c r="C52" i="14"/>
  <c r="C50" i="14"/>
  <c r="C25" i="14"/>
  <c r="C22" i="14"/>
  <c r="C42" i="14" s="1"/>
  <c r="C16" i="14"/>
  <c r="C9" i="14"/>
  <c r="C43" i="14" l="1"/>
  <c r="C68" i="14"/>
  <c r="C100" i="14"/>
  <c r="L12" i="26"/>
  <c r="L32" i="26" s="1"/>
  <c r="D196" i="26"/>
  <c r="D194" i="26" s="1"/>
  <c r="D65" i="26"/>
  <c r="L28" i="26"/>
  <c r="D191" i="26"/>
  <c r="L27" i="26"/>
  <c r="D79" i="26"/>
  <c r="L24" i="26"/>
  <c r="L14" i="26"/>
  <c r="L10" i="26"/>
  <c r="D187" i="26"/>
  <c r="L13" i="26"/>
  <c r="L33" i="26" s="1"/>
  <c r="D96" i="26"/>
  <c r="D164" i="26"/>
  <c r="D88" i="26"/>
  <c r="D172" i="26"/>
  <c r="D6" i="22"/>
  <c r="C15" i="14"/>
  <c r="C31" i="14" s="1"/>
  <c r="C36" i="14" s="1"/>
  <c r="C39" i="14" s="1"/>
  <c r="C40" i="14" s="1"/>
  <c r="D53" i="26"/>
  <c r="D111" i="26"/>
  <c r="D136" i="26"/>
  <c r="D29" i="22"/>
  <c r="E70" i="14"/>
  <c r="E64" i="14"/>
  <c r="E57" i="14"/>
  <c r="E52" i="14"/>
  <c r="E50" i="14"/>
  <c r="E25" i="14"/>
  <c r="E22" i="14"/>
  <c r="E42" i="14" s="1"/>
  <c r="E16" i="14"/>
  <c r="E43" i="14" s="1"/>
  <c r="E9" i="14"/>
  <c r="E15" i="14" s="1"/>
  <c r="L30" i="26" l="1"/>
  <c r="E31" i="14"/>
  <c r="E36" i="14" s="1"/>
  <c r="E39" i="14" s="1"/>
  <c r="E40" i="14" s="1"/>
  <c r="L34" i="26"/>
  <c r="L35" i="26" s="1"/>
  <c r="L23" i="26"/>
  <c r="D6" i="26"/>
  <c r="L16" i="26"/>
  <c r="L9" i="26"/>
  <c r="D77" i="26"/>
  <c r="E68" i="14"/>
  <c r="H10" i="26"/>
  <c r="G10" i="26"/>
  <c r="W8" i="27"/>
  <c r="V8" i="27"/>
  <c r="U8" i="27"/>
  <c r="U13" i="27" s="1"/>
  <c r="S8" i="27"/>
  <c r="R8" i="27"/>
  <c r="Q8" i="27"/>
  <c r="P8" i="27"/>
  <c r="N8" i="27"/>
  <c r="M8" i="27"/>
  <c r="L8" i="27"/>
  <c r="K8" i="27"/>
  <c r="J8" i="27"/>
  <c r="I8" i="27"/>
  <c r="H8" i="27"/>
  <c r="G8" i="27"/>
  <c r="F8" i="27"/>
  <c r="E8" i="27"/>
  <c r="D8" i="27"/>
  <c r="C8" i="27"/>
  <c r="G8" i="24"/>
  <c r="F8" i="24"/>
  <c r="G7" i="24"/>
  <c r="F7" i="24"/>
  <c r="L7" i="26" l="1"/>
  <c r="L36" i="26"/>
  <c r="D5" i="26"/>
  <c r="H34" i="22"/>
  <c r="G34" i="22"/>
  <c r="H31" i="22"/>
  <c r="G31" i="22"/>
  <c r="H53" i="22"/>
  <c r="G53" i="22"/>
  <c r="H59" i="22"/>
  <c r="G59" i="22"/>
  <c r="H58" i="22"/>
  <c r="G58" i="22"/>
  <c r="H57" i="22"/>
  <c r="G57" i="22"/>
  <c r="H56" i="22"/>
  <c r="G56" i="22"/>
  <c r="H107" i="22"/>
  <c r="G107" i="22"/>
  <c r="H106" i="22"/>
  <c r="G106" i="22"/>
  <c r="H105" i="22"/>
  <c r="G105" i="22"/>
  <c r="H104" i="22"/>
  <c r="G104" i="22"/>
  <c r="D70" i="14" l="1"/>
  <c r="F139" i="26" l="1"/>
  <c r="E86" i="26"/>
  <c r="M14" i="26" s="1"/>
  <c r="F86" i="26"/>
  <c r="H86" i="26" l="1"/>
  <c r="G86" i="26"/>
  <c r="H139" i="26"/>
  <c r="G139" i="26"/>
  <c r="F9" i="14"/>
  <c r="F60" i="22"/>
  <c r="E113" i="26"/>
  <c r="E131" i="26" l="1"/>
  <c r="E138" i="26"/>
  <c r="G131" i="26" l="1"/>
  <c r="H131" i="26"/>
  <c r="E130" i="26"/>
  <c r="H130" i="26" l="1"/>
  <c r="G130" i="26"/>
  <c r="H32" i="22"/>
  <c r="G32" i="22"/>
  <c r="E121" i="26"/>
  <c r="F114" i="26"/>
  <c r="H114" i="26" l="1"/>
  <c r="G114" i="26"/>
  <c r="H33" i="22"/>
  <c r="G33" i="22"/>
  <c r="H44" i="22"/>
  <c r="G44" i="22"/>
  <c r="F113" i="26"/>
  <c r="F124" i="26"/>
  <c r="H113" i="26" l="1"/>
  <c r="G113" i="26"/>
  <c r="F123" i="26"/>
  <c r="F196" i="26"/>
  <c r="F169" i="26"/>
  <c r="F194" i="26" l="1"/>
  <c r="H196" i="26"/>
  <c r="G196" i="26"/>
  <c r="F121" i="26"/>
  <c r="H169" i="26"/>
  <c r="G169" i="26"/>
  <c r="C5" i="24"/>
  <c r="B10" i="27"/>
  <c r="H121" i="26" l="1"/>
  <c r="G121" i="26"/>
  <c r="H194" i="26"/>
  <c r="G194" i="26"/>
  <c r="F103" i="14"/>
  <c r="F101" i="14"/>
  <c r="F96" i="14"/>
  <c r="F88" i="14"/>
  <c r="F100" i="14" l="1"/>
  <c r="D6" i="24"/>
  <c r="D5" i="24" s="1"/>
  <c r="E183" i="26" l="1"/>
  <c r="E179" i="26"/>
  <c r="H179" i="26" l="1"/>
  <c r="G179" i="26"/>
  <c r="G48" i="22"/>
  <c r="H48" i="22"/>
  <c r="E11" i="22"/>
  <c r="H103" i="22" l="1"/>
  <c r="G103" i="22"/>
  <c r="H101" i="22"/>
  <c r="G101" i="22"/>
  <c r="H100" i="22"/>
  <c r="G100" i="22"/>
  <c r="H92" i="22"/>
  <c r="H91" i="22"/>
  <c r="G91" i="22"/>
  <c r="H90" i="22"/>
  <c r="G90" i="22"/>
  <c r="H89" i="22"/>
  <c r="G89" i="22"/>
  <c r="H88" i="22"/>
  <c r="G88" i="22"/>
  <c r="H86" i="22"/>
  <c r="G86" i="22"/>
  <c r="H85" i="22"/>
  <c r="G85" i="22"/>
  <c r="H82" i="22"/>
  <c r="G82" i="22"/>
  <c r="H81" i="22"/>
  <c r="G81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62" i="22"/>
  <c r="G62" i="22"/>
  <c r="H61" i="22"/>
  <c r="G61" i="22"/>
  <c r="H55" i="22"/>
  <c r="G55" i="22"/>
  <c r="H47" i="22"/>
  <c r="G47" i="22"/>
  <c r="H25" i="22"/>
  <c r="G25" i="22"/>
  <c r="H24" i="22"/>
  <c r="G24" i="22"/>
  <c r="H22" i="22"/>
  <c r="G22" i="22"/>
  <c r="H20" i="22"/>
  <c r="G20" i="22"/>
  <c r="H10" i="22"/>
  <c r="G10" i="22"/>
  <c r="H9" i="22"/>
  <c r="G9" i="22"/>
  <c r="G23" i="22" l="1"/>
  <c r="F89" i="26"/>
  <c r="E89" i="26"/>
  <c r="H89" i="26" l="1"/>
  <c r="G89" i="26"/>
  <c r="D88" i="14"/>
  <c r="D100" i="14" s="1"/>
  <c r="F22" i="14" l="1"/>
  <c r="H39" i="22" l="1"/>
  <c r="G39" i="22"/>
  <c r="H64" i="22"/>
  <c r="G64" i="22"/>
  <c r="H99" i="22"/>
  <c r="G99" i="22"/>
  <c r="H80" i="22"/>
  <c r="G80" i="22"/>
  <c r="G41" i="22"/>
  <c r="H41" i="22"/>
  <c r="H66" i="22"/>
  <c r="G66" i="22"/>
  <c r="H50" i="22"/>
  <c r="G50" i="22"/>
  <c r="H38" i="22"/>
  <c r="G38" i="22"/>
  <c r="G30" i="22"/>
  <c r="H30" i="22"/>
  <c r="G42" i="22"/>
  <c r="H42" i="22"/>
  <c r="G67" i="22"/>
  <c r="H67" i="22"/>
  <c r="G52" i="22"/>
  <c r="H52" i="22"/>
  <c r="H51" i="22"/>
  <c r="G51" i="22"/>
  <c r="H36" i="22"/>
  <c r="G36" i="22"/>
  <c r="H43" i="22"/>
  <c r="G43" i="22"/>
  <c r="H70" i="22"/>
  <c r="G70" i="22"/>
  <c r="H68" i="22"/>
  <c r="G68" i="22"/>
  <c r="H54" i="22"/>
  <c r="G54" i="22"/>
  <c r="G35" i="22"/>
  <c r="H35" i="22"/>
  <c r="H37" i="22"/>
  <c r="G37" i="22"/>
  <c r="H63" i="22"/>
  <c r="G63" i="22"/>
  <c r="H72" i="22"/>
  <c r="G72" i="22"/>
  <c r="G94" i="22"/>
  <c r="H94" i="22"/>
  <c r="H69" i="22"/>
  <c r="G69" i="22"/>
  <c r="G45" i="22"/>
  <c r="H45" i="22"/>
  <c r="G71" i="22"/>
  <c r="H71" i="22"/>
  <c r="H40" i="22"/>
  <c r="G40" i="22"/>
  <c r="G65" i="22"/>
  <c r="H65" i="22"/>
  <c r="H46" i="22"/>
  <c r="G46" i="22"/>
  <c r="H49" i="22"/>
  <c r="G49" i="22"/>
  <c r="E5" i="24" l="1"/>
  <c r="X9" i="27"/>
  <c r="Y9" i="27"/>
  <c r="Z9" i="27"/>
  <c r="X10" i="27"/>
  <c r="Y10" i="27"/>
  <c r="Z10" i="27"/>
  <c r="AA9" i="27" l="1"/>
  <c r="AA10" i="27"/>
  <c r="AB9" i="27"/>
  <c r="AB10" i="27"/>
  <c r="F84" i="22" l="1"/>
  <c r="F80" i="26"/>
  <c r="H80" i="26" l="1"/>
  <c r="G80" i="26"/>
  <c r="E79" i="26"/>
  <c r="E60" i="22"/>
  <c r="H60" i="22" s="1"/>
  <c r="E29" i="22"/>
  <c r="G60" i="22" l="1"/>
  <c r="E92" i="26"/>
  <c r="F92" i="26"/>
  <c r="I92" i="26"/>
  <c r="F9" i="26"/>
  <c r="N10" i="26" s="1"/>
  <c r="F30" i="26"/>
  <c r="E54" i="26"/>
  <c r="M17" i="26" s="1"/>
  <c r="F54" i="26"/>
  <c r="E60" i="26"/>
  <c r="M21" i="26" s="1"/>
  <c r="F60" i="26"/>
  <c r="E70" i="26"/>
  <c r="M28" i="26" s="1"/>
  <c r="F70" i="26"/>
  <c r="F106" i="26"/>
  <c r="F109" i="26"/>
  <c r="F116" i="26"/>
  <c r="E124" i="26"/>
  <c r="F138" i="26"/>
  <c r="E145" i="26"/>
  <c r="E153" i="26"/>
  <c r="E166" i="26"/>
  <c r="E164" i="26" s="1"/>
  <c r="F166" i="26"/>
  <c r="F185" i="26"/>
  <c r="E189" i="26"/>
  <c r="F189" i="26"/>
  <c r="E191" i="26"/>
  <c r="F192" i="26"/>
  <c r="F70" i="14"/>
  <c r="F64" i="14"/>
  <c r="F57" i="14"/>
  <c r="F52" i="14"/>
  <c r="F42" i="14"/>
  <c r="F25" i="14"/>
  <c r="F16" i="14"/>
  <c r="H189" i="26" l="1"/>
  <c r="G189" i="26"/>
  <c r="N14" i="26"/>
  <c r="H30" i="26"/>
  <c r="G30" i="26"/>
  <c r="H138" i="26"/>
  <c r="G138" i="26"/>
  <c r="H92" i="26"/>
  <c r="G92" i="26"/>
  <c r="M24" i="26"/>
  <c r="H145" i="26"/>
  <c r="G145" i="26"/>
  <c r="H70" i="26"/>
  <c r="G70" i="26"/>
  <c r="H185" i="26"/>
  <c r="G185" i="26"/>
  <c r="M10" i="26"/>
  <c r="H124" i="26"/>
  <c r="G124" i="26"/>
  <c r="N21" i="26"/>
  <c r="H60" i="26"/>
  <c r="G60" i="26"/>
  <c r="H166" i="26"/>
  <c r="G166" i="26"/>
  <c r="N27" i="26"/>
  <c r="N33" i="26" s="1"/>
  <c r="H192" i="26"/>
  <c r="G192" i="26"/>
  <c r="N17" i="26"/>
  <c r="N30" i="26" s="1"/>
  <c r="H54" i="26"/>
  <c r="G54" i="26"/>
  <c r="H153" i="26"/>
  <c r="G153" i="26"/>
  <c r="H106" i="26"/>
  <c r="G106" i="26"/>
  <c r="N24" i="26"/>
  <c r="H109" i="26"/>
  <c r="G109" i="26"/>
  <c r="M34" i="26"/>
  <c r="N28" i="26"/>
  <c r="N34" i="26" s="1"/>
  <c r="F65" i="26"/>
  <c r="E123" i="26"/>
  <c r="F111" i="26"/>
  <c r="E144" i="26"/>
  <c r="E136" i="26" s="1"/>
  <c r="F164" i="26"/>
  <c r="F68" i="14"/>
  <c r="E187" i="26"/>
  <c r="F108" i="26"/>
  <c r="F144" i="26"/>
  <c r="E65" i="26"/>
  <c r="F183" i="26"/>
  <c r="F178" i="26"/>
  <c r="F43" i="14"/>
  <c r="F98" i="26"/>
  <c r="E88" i="26"/>
  <c r="F191" i="26"/>
  <c r="E152" i="26"/>
  <c r="F88" i="26"/>
  <c r="F53" i="26"/>
  <c r="E178" i="26"/>
  <c r="E53" i="26"/>
  <c r="E116" i="26"/>
  <c r="H116" i="26" s="1"/>
  <c r="F79" i="26"/>
  <c r="F15" i="14"/>
  <c r="F31" i="14" s="1"/>
  <c r="F36" i="14" s="1"/>
  <c r="F39" i="14" s="1"/>
  <c r="F40" i="14" s="1"/>
  <c r="M30" i="26" l="1"/>
  <c r="M35" i="26" s="1"/>
  <c r="H88" i="26"/>
  <c r="G88" i="26"/>
  <c r="H191" i="26"/>
  <c r="G191" i="26"/>
  <c r="H183" i="26"/>
  <c r="G183" i="26"/>
  <c r="F136" i="26"/>
  <c r="H144" i="26"/>
  <c r="G144" i="26"/>
  <c r="F172" i="26"/>
  <c r="H178" i="26"/>
  <c r="G178" i="26"/>
  <c r="H79" i="26"/>
  <c r="G79" i="26"/>
  <c r="H152" i="26"/>
  <c r="G152" i="26"/>
  <c r="H164" i="26"/>
  <c r="G164" i="26"/>
  <c r="H98" i="26"/>
  <c r="G98" i="26"/>
  <c r="H123" i="26"/>
  <c r="G123" i="26"/>
  <c r="G116" i="26"/>
  <c r="N16" i="26"/>
  <c r="H53" i="26"/>
  <c r="G53" i="26"/>
  <c r="H65" i="26"/>
  <c r="G65" i="26"/>
  <c r="H108" i="26"/>
  <c r="G108" i="26"/>
  <c r="N23" i="26"/>
  <c r="M23" i="26"/>
  <c r="N35" i="26"/>
  <c r="E6" i="26"/>
  <c r="M16" i="26"/>
  <c r="E150" i="26"/>
  <c r="F187" i="26"/>
  <c r="E172" i="26"/>
  <c r="E111" i="26"/>
  <c r="G111" i="26" s="1"/>
  <c r="F77" i="26"/>
  <c r="F96" i="26"/>
  <c r="E77" i="26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H77" i="26" l="1"/>
  <c r="G77" i="26"/>
  <c r="H172" i="26"/>
  <c r="G172" i="26"/>
  <c r="H111" i="26"/>
  <c r="H187" i="26"/>
  <c r="G187" i="26"/>
  <c r="H150" i="26"/>
  <c r="G150" i="26"/>
  <c r="H136" i="26"/>
  <c r="G136" i="26"/>
  <c r="H96" i="26"/>
  <c r="G96" i="26"/>
  <c r="E5" i="26"/>
  <c r="D50" i="14"/>
  <c r="H64" i="14"/>
  <c r="H57" i="14"/>
  <c r="H52" i="14"/>
  <c r="G68" i="14"/>
  <c r="F50" i="14" l="1"/>
  <c r="H68" i="14"/>
  <c r="E21" i="22" l="1"/>
  <c r="E7" i="22"/>
  <c r="E93" i="22" l="1"/>
  <c r="F87" i="22"/>
  <c r="H93" i="22" l="1"/>
  <c r="G93" i="22"/>
  <c r="Y8" i="27" l="1"/>
  <c r="X8" i="27"/>
  <c r="Z8" i="27" l="1"/>
  <c r="AB8" i="27" l="1"/>
  <c r="AA8" i="27"/>
  <c r="E110" i="22" l="1"/>
  <c r="E84" i="22"/>
  <c r="H110" i="22" l="1"/>
  <c r="G110" i="22"/>
  <c r="H11" i="22"/>
  <c r="G11" i="22"/>
  <c r="H23" i="22"/>
  <c r="H87" i="22"/>
  <c r="G87" i="22"/>
  <c r="H84" i="22"/>
  <c r="G84" i="22"/>
  <c r="E6" i="22"/>
  <c r="M9" i="26" l="1"/>
  <c r="M7" i="26" s="1"/>
  <c r="G76" i="14"/>
  <c r="F7" i="22" l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G96" i="14" l="1"/>
  <c r="G102" i="14"/>
  <c r="G92" i="14"/>
  <c r="H96" i="14"/>
  <c r="H92" i="14"/>
  <c r="G88" i="14"/>
  <c r="H103" i="14"/>
  <c r="H101" i="14"/>
  <c r="H100" i="14" l="1"/>
  <c r="G100" i="14"/>
  <c r="F10" i="24" l="1"/>
  <c r="G10" i="24"/>
  <c r="Z12" i="27" l="1"/>
  <c r="Y12" i="27"/>
  <c r="X12" i="27"/>
  <c r="AB12" i="27" l="1"/>
  <c r="AA12" i="27"/>
  <c r="F8" i="26" l="1"/>
  <c r="N9" i="26" s="1"/>
  <c r="N7" i="26" s="1"/>
  <c r="G9" i="26"/>
  <c r="F6" i="26" l="1"/>
  <c r="F5" i="26" s="1"/>
  <c r="G6" i="24"/>
  <c r="H123" i="22"/>
  <c r="F21" i="22"/>
  <c r="F6" i="22" s="1"/>
  <c r="H8" i="22"/>
  <c r="G8" i="22"/>
  <c r="G5" i="26" l="1"/>
  <c r="H5" i="26"/>
  <c r="G21" i="22"/>
  <c r="H21" i="22"/>
  <c r="H9" i="26"/>
  <c r="H7" i="22"/>
  <c r="F6" i="24"/>
  <c r="F5" i="24" s="1"/>
  <c r="G7" i="22"/>
  <c r="G5" i="24" l="1"/>
  <c r="G8" i="26"/>
  <c r="H8" i="26"/>
  <c r="H29" i="22"/>
  <c r="G29" i="22"/>
  <c r="H6" i="22"/>
  <c r="G6" i="22"/>
  <c r="G6" i="26" l="1"/>
  <c r="H6" i="26"/>
  <c r="H73" i="14"/>
  <c r="G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72" i="14"/>
  <c r="H74" i="14"/>
  <c r="G72" i="14"/>
  <c r="G74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13" i="27"/>
  <c r="C13" i="27"/>
  <c r="Q13" i="27"/>
  <c r="L13" i="27"/>
  <c r="I13" i="27"/>
  <c r="V13" i="27"/>
  <c r="Z13" i="27"/>
  <c r="K13" i="27"/>
  <c r="AA13" i="27"/>
  <c r="D13" i="27"/>
  <c r="S13" i="27"/>
  <c r="G13" i="27"/>
  <c r="E13" i="27"/>
  <c r="X13" i="27"/>
  <c r="N13" i="27"/>
  <c r="Y13" i="27"/>
  <c r="H13" i="27"/>
  <c r="T13" i="27"/>
  <c r="R13" i="27"/>
  <c r="J13" i="27"/>
  <c r="M13" i="27"/>
  <c r="P13" i="27"/>
  <c r="F13" i="27"/>
  <c r="AB13" i="27" l="1"/>
</calcChain>
</file>

<file path=xl/sharedStrings.xml><?xml version="1.0" encoding="utf-8"?>
<sst xmlns="http://schemas.openxmlformats.org/spreadsheetml/2006/main" count="681" uniqueCount="364">
  <si>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</si>
  <si>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</si>
  <si>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</si>
  <si>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</si>
  <si>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</si>
  <si>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</si>
  <si>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</si>
  <si>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</si>
  <si>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</si>
  <si>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</si>
  <si>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</si>
  <si>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</si>
  <si>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</si>
  <si>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</si>
  <si>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</si>
  <si>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</si>
  <si>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</si>
  <si>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</si>
  <si>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</si>
  <si>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</si>
  <si>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</si>
  <si>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</si>
  <si>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</si>
  <si>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</si>
  <si>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</si>
  <si>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</si>
  <si>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</si>
  <si>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</si>
  <si>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</si>
  <si>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</si>
  <si>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</si>
  <si>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</si>
  <si>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</si>
  <si>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</si>
  <si>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</si>
  <si>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</si>
  <si>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</si>
  <si>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</si>
  <si>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</si>
  <si>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</si>
  <si>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</si>
  <si>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</si>
  <si>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</si>
  <si>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</si>
  <si>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</si>
  <si>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</si>
  <si>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</si>
  <si>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</si>
  <si>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</si>
  <si>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</si>
  <si>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</si>
  <si>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</si>
  <si>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</si>
  <si>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</si>
  <si>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</si>
  <si>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</si>
  <si>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</si>
  <si>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</si>
  <si>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</si>
  <si>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</si>
  <si>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</si>
  <si>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</si>
  <si>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</si>
  <si>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</si>
  <si>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</si>
  <si>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</si>
  <si>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</si>
  <si>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</si>
  <si>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</si>
  <si>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</si>
  <si>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</si>
  <si>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</si>
  <si>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</si>
  <si>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</si>
  <si>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</si>
  <si>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</si>
  <si>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</si>
  <si>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</si>
  <si>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</si>
  <si>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</si>
  <si>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</si>
  <si>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</si>
  <si>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</si>
  <si>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</si>
  <si>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</si>
  <si>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</si>
  <si>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</si>
  <si>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</si>
  <si>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</si>
  <si>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</si>
  <si>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</si>
  <si>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</si>
  <si>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</si>
  <si>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</si>
  <si>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</si>
  <si>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</si>
  <si>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</si>
  <si>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</si>
  <si>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</si>
  <si>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</si>
  <si>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</si>
  <si>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</si>
  <si>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</si>
  <si>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</si>
  <si>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</si>
  <si>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</si>
  <si>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</si>
  <si>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</si>
  <si>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</si>
  <si>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</si>
  <si>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</si>
  <si>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</si>
  <si>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</si>
  <si>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</si>
  <si>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</si>
  <si>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</si>
  <si>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</si>
  <si>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</si>
  <si>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</si>
  <si>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</si>
  <si>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</si>
  <si>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</si>
  <si>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</si>
  <si>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</si>
  <si>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</si>
  <si>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</si>
  <si>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</si>
  <si>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</si>
  <si>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</si>
  <si>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</si>
  <si>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</si>
  <si>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</si>
  <si>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</si>
  <si>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</si>
  <si>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</si>
  <si>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</si>
  <si>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</si>
  <si>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</si>
  <si>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</si>
  <si>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</si>
  <si>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</si>
  <si>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</si>
  <si>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</si>
  <si>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</si>
  <si>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</si>
  <si>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</si>
  <si>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</si>
  <si>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</si>
  <si>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</si>
  <si>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</si>
  <si>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</si>
  <si>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</si>
  <si>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</si>
  <si>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</si>
  <si>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</si>
  <si>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</si>
  <si>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</si>
  <si>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</si>
  <si>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</si>
  <si>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</si>
  <si>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</si>
  <si>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</si>
  <si>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</si>
  <si>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</si>
  <si>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</si>
  <si>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</si>
  <si>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</si>
  <si>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</si>
  <si>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</si>
  <si>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</si>
  <si>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</si>
  <si>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</si>
  <si>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</si>
  <si>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</si>
  <si>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</si>
  <si>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</si>
  <si>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</si>
  <si>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ремонт охоронної сигналізації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</si>
  <si>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</si>
  <si>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</si>
  <si>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</si>
  <si>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</si>
  <si>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 xml:space="preserve">комісія за касове обслуговування 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</si>
  <si>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</si>
  <si>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</si>
  <si>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</si>
  <si>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</si>
  <si>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</si>
  <si>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</si>
  <si>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</si>
  <si>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</si>
  <si>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</si>
  <si>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</si>
  <si>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</si>
  <si>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</si>
  <si>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>послуги з навчання</t>
  </si>
  <si>
    <t>послуги з оцінки нерухомого майна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</si>
  <si>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</si>
  <si>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</si>
  <si>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</si>
  <si>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</si>
  <si>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</si>
  <si>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</si>
  <si>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</si>
  <si>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</si>
  <si>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</si>
  <si>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</si>
  <si>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</si>
  <si>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</si>
  <si>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</si>
  <si>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</si>
  <si>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</si>
  <si>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</si>
  <si>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</si>
  <si>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</si>
  <si>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</si>
  <si>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2.2.5</t>
  </si>
  <si>
    <t>3.1.1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</si>
  <si>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</si>
  <si>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</si>
  <si>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</si>
  <si>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</si>
  <si>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</si>
  <si>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</si>
  <si>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</si>
  <si>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</si>
  <si>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</si>
  <si>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</si>
  <si>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</si>
  <si>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</si>
  <si>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</si>
  <si>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8.1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</si>
  <si>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</si>
  <si>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</si>
  <si>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</si>
  <si>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</si>
  <si>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</si>
  <si>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</si>
  <si>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</si>
  <si>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</si>
  <si>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</si>
  <si>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</si>
  <si>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</si>
  <si>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</si>
  <si>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</si>
  <si>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</si>
  <si>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</si>
  <si>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</si>
  <si>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</si>
  <si>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пломбування лічильника</t>
  </si>
  <si>
    <t>рекламні та маркетингові послуги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</si>
  <si>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</si>
  <si>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</si>
  <si>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</si>
  <si>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</si>
  <si>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</si>
  <si>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платні послуги</t>
  </si>
  <si>
    <t>перевірка пожежних гідрантів, засобів обліку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</si>
  <si>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</si>
  <si>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</si>
  <si>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</si>
  <si>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</si>
  <si>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</si>
  <si>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</si>
  <si>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</si>
  <si>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</si>
  <si>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</si>
  <si>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</si>
  <si>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</si>
  <si>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</si>
  <si>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</si>
  <si>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</si>
  <si>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</si>
  <si>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</si>
  <si>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</si>
  <si>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</si>
  <si>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</si>
  <si>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</si>
  <si>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>Придбання (виготовлення) інших необоротних матеріальних активів</t>
  </si>
  <si>
    <t>Наталя РОМАН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</si>
  <si>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</si>
  <si>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</si>
  <si>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</si>
  <si>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</si>
  <si>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3.2</t>
  </si>
  <si>
    <t>3.2.1</t>
  </si>
  <si>
    <t>вироби медичного призначення</t>
  </si>
  <si>
    <t>8.1.1</t>
  </si>
  <si>
    <t>8.2</t>
  </si>
  <si>
    <t>10.1.2</t>
  </si>
  <si>
    <t>10.1.3</t>
  </si>
  <si>
    <t>11.</t>
  </si>
  <si>
    <t>12.</t>
  </si>
  <si>
    <t>12.1</t>
  </si>
  <si>
    <t>13.</t>
  </si>
  <si>
    <t>13.1</t>
  </si>
  <si>
    <t>залишки коштів бюджету ВМТГ/ кошти бюджету ВМОТГ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</si>
  <si>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</si>
  <si>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</si>
  <si>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Надходження від платних  послуг</t>
  </si>
  <si>
    <t>1.1.4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</si>
  <si>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</si>
  <si>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</si>
  <si>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запасні частини для медичного обладнання</t>
  </si>
  <si>
    <t>сантехнічне обладнання</t>
  </si>
  <si>
    <t>охоронні послуги</t>
  </si>
  <si>
    <t>запасні частини для  медичного обладнання</t>
  </si>
  <si>
    <t>запасні частини для  автомобілів</t>
  </si>
  <si>
    <t>Нарахування амортизації на дооцінку</t>
  </si>
  <si>
    <t>Факт за І квартал  2023 року</t>
  </si>
  <si>
    <t>за І квартал  2023 року</t>
  </si>
  <si>
    <t>послуги з визначення економічної доцільності відновлення робіт автомобілів</t>
  </si>
  <si>
    <t>Благодійна допомога в коштах</t>
  </si>
  <si>
    <t>10.2</t>
  </si>
  <si>
    <t>10.2.1</t>
  </si>
  <si>
    <t>технічне обслуговування вузла регулювання теплової енергії</t>
  </si>
  <si>
    <t>технічне обстеження флюорографічного кабінету</t>
  </si>
  <si>
    <t>лабораторні дослідження у флюорографічному кабінеті</t>
  </si>
  <si>
    <t>випробування індивідуальних засобів захисту від іонізуючого випромінювання</t>
  </si>
  <si>
    <t>технічне обслуговування вузла регулювання теплової енергі</t>
  </si>
  <si>
    <t>Мережевий комб.холодильник з кам.для льоду  для збер.вакцин та мороз.камера з акум.холоду GVR55FFAC (1шт. - І квартал 2023р.)</t>
  </si>
  <si>
    <t>Генератор (1шт І квартал 2023р.)</t>
  </si>
  <si>
    <t>-</t>
  </si>
  <si>
    <t>за І квартал  2024 року</t>
  </si>
  <si>
    <t>Звітний  І квартал 2024 року</t>
  </si>
  <si>
    <t>План за І квартал  2024 року</t>
  </si>
  <si>
    <t>Факт за І квартал  2024 року</t>
  </si>
  <si>
    <t>9.2</t>
  </si>
  <si>
    <t>дитяче харчування</t>
  </si>
  <si>
    <t>Надходження від реалізації майна (металобрухт) (натура)</t>
  </si>
  <si>
    <t>металобрухт</t>
  </si>
  <si>
    <t>господарські товари</t>
  </si>
  <si>
    <t>інші доходи (списання металобрухту )</t>
  </si>
  <si>
    <t>штрафи</t>
  </si>
  <si>
    <t>Холодильник Mains Ref. Vestfrost VLS174A AC</t>
  </si>
  <si>
    <t>технічні умови (смт. Десна. АЗПСМ №8)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</si>
  <si>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І квартал 2024 року</t>
  </si>
  <si>
    <t>5.</t>
  </si>
  <si>
    <t>5.1</t>
  </si>
  <si>
    <t>5.1.1</t>
  </si>
  <si>
    <t>7.2</t>
  </si>
  <si>
    <t>7.2.1</t>
  </si>
  <si>
    <t>9.1.2</t>
  </si>
  <si>
    <t>9.1.3</t>
  </si>
  <si>
    <t>9.2.1</t>
  </si>
  <si>
    <t>9.2.2</t>
  </si>
  <si>
    <t>10.1.4</t>
  </si>
  <si>
    <t>11.1</t>
  </si>
  <si>
    <t>12.1.1</t>
  </si>
  <si>
    <t>12.1.5</t>
  </si>
  <si>
    <t>12.1.2</t>
  </si>
  <si>
    <t>12.1.3</t>
  </si>
  <si>
    <t>13.1.1</t>
  </si>
  <si>
    <t>1.3.1</t>
  </si>
  <si>
    <t>амортизація</t>
  </si>
  <si>
    <t>5.2</t>
  </si>
  <si>
    <t>5.2.1</t>
  </si>
  <si>
    <t>6.2</t>
  </si>
  <si>
    <t>6.2.1</t>
  </si>
  <si>
    <t>8.1.2</t>
  </si>
  <si>
    <t>8.2.1</t>
  </si>
  <si>
    <t>11.2</t>
  </si>
  <si>
    <t>11.2.1</t>
  </si>
  <si>
    <t>11.1.1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</si>
</sst>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C0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323">
    <xf numFmtId="0" fontId="0" fillId="0" borderId="0" xfId="0"/>
    <xf numFmtId="179" fontId="67" fillId="29" borderId="3" xfId="0" applyNumberFormat="1" applyFont="1" applyFill="1" applyBorder="1" applyAlignment="1">
      <alignment horizontal="center" vertical="center" wrapText="1"/>
    </xf>
    <xf numFmtId="179" fontId="76" fillId="0" borderId="3" xfId="0" applyNumberFormat="1" applyFont="1" applyBorder="1" applyAlignment="1">
      <alignment horizontal="center" vertical="center" wrapText="1"/>
    </xf>
    <xf numFmtId="179" fontId="76" fillId="29" borderId="3" xfId="0" applyNumberFormat="1" applyFont="1" applyFill="1" applyBorder="1" applyAlignment="1">
      <alignment horizontal="center" vertical="center" wrapText="1"/>
    </xf>
    <xf numFmtId="0" fontId="77" fillId="22" borderId="0" xfId="0" applyFont="1" applyFill="1" applyAlignment="1">
      <alignment horizontal="center" vertical="center"/>
    </xf>
    <xf numFmtId="0" fontId="77" fillId="22" borderId="0" xfId="0" applyFont="1" applyFill="1" applyAlignment="1">
      <alignment horizontal="right" vertical="center"/>
    </xf>
    <xf numFmtId="0" fontId="77" fillId="22" borderId="0" xfId="0" applyFont="1" applyFill="1" applyAlignment="1">
      <alignment vertical="center"/>
    </xf>
    <xf numFmtId="0" fontId="77" fillId="0" borderId="0" xfId="0" applyFont="1" applyAlignment="1">
      <alignment vertical="center"/>
    </xf>
    <xf numFmtId="0" fontId="76" fillId="22" borderId="0" xfId="0" applyFont="1" applyFill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7" fillId="22" borderId="13" xfId="0" applyFont="1" applyFill="1" applyBorder="1" applyAlignment="1">
      <alignment vertical="center"/>
    </xf>
    <xf numFmtId="0" fontId="77" fillId="22" borderId="13" xfId="0" applyFont="1" applyFill="1" applyBorder="1" applyAlignment="1">
      <alignment horizontal="center" vertical="center"/>
    </xf>
    <xf numFmtId="0" fontId="77" fillId="0" borderId="13" xfId="0" applyFont="1" applyBorder="1" applyAlignment="1">
      <alignment horizontal="center" vertical="center"/>
    </xf>
    <xf numFmtId="0" fontId="77" fillId="22" borderId="3" xfId="0" applyFont="1" applyFill="1" applyBorder="1" applyAlignment="1">
      <alignment vertical="center" wrapText="1"/>
    </xf>
    <xf numFmtId="0" fontId="77" fillId="22" borderId="0" xfId="0" applyFont="1" applyFill="1" applyAlignment="1">
      <alignment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/>
    </xf>
    <xf numFmtId="0" fontId="77" fillId="22" borderId="15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77" fillId="22" borderId="0" xfId="0" applyFont="1" applyFill="1" applyAlignment="1">
      <alignment horizontal="center" vertical="center" wrapText="1"/>
    </xf>
    <xf numFmtId="179" fontId="76" fillId="0" borderId="3" xfId="0" applyNumberFormat="1" applyFont="1" applyBorder="1" applyAlignment="1">
      <alignment vertical="center"/>
    </xf>
    <xf numFmtId="179" fontId="76" fillId="22" borderId="0" xfId="0" applyNumberFormat="1" applyFont="1" applyFill="1" applyAlignment="1">
      <alignment horizontal="center" vertical="center" wrapText="1"/>
    </xf>
    <xf numFmtId="179" fontId="76" fillId="22" borderId="0" xfId="0" applyNumberFormat="1" applyFont="1" applyFill="1" applyAlignment="1">
      <alignment horizontal="center" vertical="center"/>
    </xf>
    <xf numFmtId="179" fontId="77" fillId="0" borderId="3" xfId="0" applyNumberFormat="1" applyFont="1" applyBorder="1" applyAlignment="1">
      <alignment horizontal="center" vertical="center" wrapText="1"/>
    </xf>
    <xf numFmtId="0" fontId="77" fillId="0" borderId="3" xfId="0" applyFont="1" applyBorder="1" applyAlignment="1">
      <alignment vertical="center"/>
    </xf>
    <xf numFmtId="179" fontId="77" fillId="0" borderId="3" xfId="0" applyNumberFormat="1" applyFont="1" applyBorder="1" applyAlignment="1">
      <alignment horizontal="center" vertical="center"/>
    </xf>
    <xf numFmtId="179" fontId="77" fillId="29" borderId="3" xfId="0" applyNumberFormat="1" applyFont="1" applyFill="1" applyBorder="1" applyAlignment="1">
      <alignment horizontal="center" vertical="center"/>
    </xf>
    <xf numFmtId="179" fontId="77" fillId="0" borderId="3" xfId="0" applyNumberFormat="1" applyFont="1" applyBorder="1" applyAlignment="1">
      <alignment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Alignment="1">
      <alignment horizontal="center" vertical="center" wrapText="1"/>
    </xf>
    <xf numFmtId="179" fontId="77" fillId="22" borderId="0" xfId="0" applyNumberFormat="1" applyFont="1" applyFill="1" applyAlignment="1">
      <alignment horizontal="center" vertical="center"/>
    </xf>
    <xf numFmtId="179" fontId="88" fillId="22" borderId="0" xfId="0" applyNumberFormat="1" applyFont="1" applyFill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179" fontId="76" fillId="22" borderId="3" xfId="0" applyNumberFormat="1" applyFont="1" applyFill="1" applyBorder="1" applyAlignment="1">
      <alignment horizontal="center" vertical="center" wrapText="1"/>
    </xf>
    <xf numFmtId="169" fontId="77" fillId="22" borderId="0" xfId="0" applyNumberFormat="1" applyFont="1" applyFill="1" applyAlignment="1">
      <alignment horizontal="center" vertical="center" wrapText="1"/>
    </xf>
    <xf numFmtId="0" fontId="76" fillId="22" borderId="0" xfId="0" applyFont="1" applyFill="1" applyAlignment="1">
      <alignment horizontal="right" vertical="center"/>
    </xf>
    <xf numFmtId="169" fontId="76" fillId="22" borderId="0" xfId="0" applyNumberFormat="1" applyFont="1" applyFill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90" fillId="22" borderId="0" xfId="0" applyFont="1" applyFill="1" applyAlignment="1">
      <alignment horizontal="center" vertical="center"/>
    </xf>
    <xf numFmtId="0" fontId="77" fillId="22" borderId="0" xfId="0" applyFont="1" applyFill="1" applyAlignment="1">
      <alignment vertical="center" wrapText="1" shrinkToFit="1"/>
    </xf>
    <xf numFmtId="0" fontId="83" fillId="0" borderId="0" xfId="0" applyFont="1" applyAlignment="1">
      <alignment vertical="center"/>
    </xf>
    <xf numFmtId="179" fontId="94" fillId="29" borderId="3" xfId="0" applyNumberFormat="1" applyFont="1" applyFill="1" applyBorder="1" applyAlignment="1">
      <alignment horizontal="center" vertical="center" wrapText="1"/>
    </xf>
    <xf numFmtId="0" fontId="89" fillId="22" borderId="0" xfId="0" applyFont="1" applyFill="1" applyAlignment="1">
      <alignment horizontal="center" wrapText="1"/>
    </xf>
    <xf numFmtId="0" fontId="77" fillId="22" borderId="15" xfId="0" applyFont="1" applyFill="1" applyBorder="1" applyAlignment="1">
      <alignment vertical="center" wrapText="1"/>
    </xf>
    <xf numFmtId="0" fontId="76" fillId="22" borderId="15" xfId="0" applyFont="1" applyFill="1" applyBorder="1" applyAlignment="1">
      <alignment vertical="center" wrapText="1"/>
    </xf>
    <xf numFmtId="0" fontId="77" fillId="22" borderId="25" xfId="0" applyFont="1" applyFill="1" applyBorder="1" applyAlignment="1">
      <alignment vertical="center" wrapText="1"/>
    </xf>
    <xf numFmtId="0" fontId="77" fillId="22" borderId="24" xfId="0" applyFont="1" applyFill="1" applyBorder="1" applyAlignment="1">
      <alignment vertical="center" wrapText="1"/>
    </xf>
    <xf numFmtId="0" fontId="77" fillId="22" borderId="27" xfId="0" applyFont="1" applyFill="1" applyBorder="1" applyAlignment="1">
      <alignment vertical="center" wrapText="1"/>
    </xf>
    <xf numFmtId="0" fontId="87" fillId="22" borderId="0" xfId="0" applyFont="1" applyFill="1" applyAlignment="1">
      <alignment vertical="center"/>
    </xf>
    <xf numFmtId="0" fontId="77" fillId="29" borderId="0" xfId="0" applyFont="1" applyFill="1" applyAlignment="1">
      <alignment vertical="center"/>
    </xf>
    <xf numFmtId="0" fontId="76" fillId="29" borderId="0" xfId="0" applyFont="1" applyFill="1" applyAlignment="1">
      <alignment horizontal="left" vertical="center"/>
    </xf>
    <xf numFmtId="0" fontId="77" fillId="29" borderId="3" xfId="0" applyFont="1" applyFill="1" applyBorder="1" applyAlignment="1">
      <alignment horizontal="center" vertical="center"/>
    </xf>
    <xf numFmtId="0" fontId="77" fillId="29" borderId="0" xfId="0" applyFont="1" applyFill="1" applyAlignment="1">
      <alignment horizontal="center" vertical="center"/>
    </xf>
    <xf numFmtId="179" fontId="101" fillId="29" borderId="3" xfId="0" applyNumberFormat="1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horizontal="center" vertical="center" wrapText="1"/>
    </xf>
    <xf numFmtId="0" fontId="77" fillId="22" borderId="14" xfId="0" applyFont="1" applyFill="1" applyBorder="1" applyAlignment="1">
      <alignment horizontal="center" vertical="center" wrapText="1"/>
    </xf>
    <xf numFmtId="0" fontId="77" fillId="22" borderId="16" xfId="0" applyFont="1" applyFill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77" fillId="0" borderId="25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77" fillId="0" borderId="26" xfId="0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7" fillId="22" borderId="0" xfId="0" applyFont="1" applyFill="1" applyAlignment="1">
      <alignment horizontal="center" vertical="center" wrapText="1"/>
    </xf>
    <xf numFmtId="0" fontId="77" fillId="29" borderId="17" xfId="0" applyFont="1" applyFill="1" applyBorder="1" applyAlignment="1">
      <alignment horizontal="center" vertical="center" wrapText="1"/>
    </xf>
    <xf numFmtId="0" fontId="77" fillId="29" borderId="18" xfId="0" applyFont="1" applyFill="1" applyBorder="1" applyAlignment="1">
      <alignment horizontal="center" vertical="center" wrapText="1"/>
    </xf>
    <xf numFmtId="0" fontId="77" fillId="22" borderId="17" xfId="0" applyFont="1" applyFill="1" applyBorder="1" applyAlignment="1">
      <alignment horizontal="center" vertical="center" wrapText="1"/>
    </xf>
    <xf numFmtId="0" fontId="77" fillId="22" borderId="18" xfId="0" applyFont="1" applyFill="1" applyBorder="1" applyAlignment="1">
      <alignment horizontal="center" vertical="center" wrapText="1"/>
    </xf>
    <xf numFmtId="3" fontId="76" fillId="22" borderId="15" xfId="0" applyNumberFormat="1" applyFont="1" applyFill="1" applyBorder="1" applyAlignment="1">
      <alignment horizontal="center" vertical="center" wrapText="1"/>
    </xf>
    <xf numFmtId="3" fontId="76" fillId="22" borderId="16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 wrapText="1"/>
    </xf>
    <xf numFmtId="0" fontId="91" fillId="0" borderId="0" xfId="0" applyFont="1" applyAlignment="1">
      <alignment vertical="center" wrapText="1"/>
    </xf>
    <xf numFmtId="0" fontId="77" fillId="22" borderId="0" xfId="0" applyFont="1" applyFill="1" applyAlignment="1">
      <alignment horizontal="center"/>
    </xf>
    <xf numFmtId="0" fontId="76" fillId="22" borderId="13" xfId="0" applyFont="1" applyFill="1" applyBorder="1" applyAlignment="1">
      <alignment horizontal="center"/>
    </xf>
    <xf numFmtId="0" fontId="77" fillId="22" borderId="0" xfId="0" applyFont="1" applyFill="1" applyAlignment="1">
      <alignment horizontal="center" vertical="center"/>
    </xf>
    <xf numFmtId="0" fontId="77" fillId="0" borderId="13" xfId="0" applyFont="1" applyBorder="1" applyAlignment="1">
      <alignment horizontal="center"/>
    </xf>
    <xf numFmtId="0" fontId="77" fillId="0" borderId="19" xfId="0" applyFont="1" applyBorder="1" applyAlignment="1">
      <alignment horizontal="center" vertical="center"/>
    </xf>
    <xf numFmtId="0" fontId="96" fillId="0" borderId="0" xfId="0" applyFont="1" applyFill="1" applyAlignment="1">
      <alignment horizontal="center" vertical="center" wrapText="1"/>
    </xf>
    <xf numFmtId="0" fontId="96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5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center" vertical="center" wrapText="1"/>
    </xf>
    <xf numFmtId="0" fontId="81" fillId="0" borderId="15" xfId="0" applyFont="1" applyFill="1" applyBorder="1" applyAlignment="1">
      <alignment horizontal="center" vertical="center"/>
    </xf>
    <xf numFmtId="0" fontId="81" fillId="0" borderId="14" xfId="0" applyFont="1" applyFill="1" applyBorder="1" applyAlignment="1">
      <alignment horizontal="center" vertical="center"/>
    </xf>
    <xf numFmtId="0" fontId="81" fillId="0" borderId="16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 shrinkToFit="1"/>
    </xf>
    <xf numFmtId="0" fontId="81" fillId="0" borderId="3" xfId="0" applyFont="1" applyFill="1" applyBorder="1" applyAlignment="1">
      <alignment horizontal="center" vertical="center" wrapText="1" shrinkToFit="1"/>
    </xf>
    <xf numFmtId="0" fontId="62" fillId="0" borderId="3" xfId="0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67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center" vertical="center"/>
    </xf>
    <xf numFmtId="179" fontId="67" fillId="0" borderId="3" xfId="0" applyNumberFormat="1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left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center" vertical="center" wrapText="1"/>
    </xf>
    <xf numFmtId="0" fontId="62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9" fontId="76" fillId="0" borderId="18" xfId="0" applyNumberFormat="1" applyFont="1" applyFill="1" applyBorder="1" applyAlignment="1">
      <alignment horizontal="center" vertical="center" wrapText="1"/>
    </xf>
    <xf numFmtId="170" fontId="62" fillId="0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Alignment="1">
      <alignment vertical="center"/>
    </xf>
    <xf numFmtId="177" fontId="62" fillId="0" borderId="3" xfId="0" applyNumberFormat="1" applyFont="1" applyFill="1" applyBorder="1" applyAlignment="1">
      <alignment horizontal="center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67" fillId="0" borderId="3" xfId="245" applyFont="1" applyFill="1" applyBorder="1" applyAlignment="1">
      <alignment horizontal="left" vertical="center" wrapText="1"/>
    </xf>
    <xf numFmtId="0" fontId="62" fillId="0" borderId="3" xfId="245" applyFont="1" applyFill="1" applyBorder="1" applyAlignment="1">
      <alignment horizontal="left" vertical="center" wrapText="1"/>
    </xf>
    <xf numFmtId="0" fontId="67" fillId="0" borderId="3" xfId="0" applyFont="1" applyFill="1" applyBorder="1" applyAlignment="1" applyProtection="1">
      <alignment horizontal="left" vertical="center" wrapText="1"/>
      <protection locked="0"/>
    </xf>
    <xf numFmtId="0" fontId="65" fillId="0" borderId="22" xfId="0" applyFont="1" applyFill="1" applyBorder="1" applyAlignment="1" applyProtection="1">
      <alignment horizontal="center"/>
      <protection locked="0"/>
    </xf>
    <xf numFmtId="0" fontId="65" fillId="0" borderId="13" xfId="0" applyFont="1" applyFill="1" applyBorder="1" applyAlignment="1" applyProtection="1">
      <alignment horizontal="center"/>
      <protection locked="0"/>
    </xf>
    <xf numFmtId="0" fontId="67" fillId="0" borderId="20" xfId="182" applyFont="1" applyFill="1" applyBorder="1" applyAlignment="1">
      <alignment vertical="center" wrapText="1"/>
      <protection locked="0"/>
    </xf>
    <xf numFmtId="0" fontId="62" fillId="0" borderId="21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 vertical="center" wrapText="1"/>
    </xf>
    <xf numFmtId="179" fontId="94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49" fontId="67" fillId="0" borderId="3" xfId="0" applyNumberFormat="1" applyFont="1" applyFill="1" applyBorder="1" applyAlignment="1">
      <alignment horizontal="center" vertical="center"/>
    </xf>
    <xf numFmtId="178" fontId="67" fillId="0" borderId="3" xfId="0" applyNumberFormat="1" applyFont="1" applyFill="1" applyBorder="1" applyAlignment="1">
      <alignment horizontal="center" vertical="center" wrapText="1"/>
    </xf>
    <xf numFmtId="173" fontId="62" fillId="0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170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 applyProtection="1">
      <alignment horizontal="left" vertical="center"/>
      <protection locked="0"/>
    </xf>
    <xf numFmtId="170" fontId="67" fillId="0" borderId="0" xfId="0" applyNumberFormat="1" applyFont="1" applyFill="1" applyAlignment="1">
      <alignment horizontal="center" vertical="center" wrapText="1"/>
    </xf>
    <xf numFmtId="170" fontId="67" fillId="0" borderId="0" xfId="0" applyNumberFormat="1" applyFont="1" applyFill="1" applyAlignment="1">
      <alignment horizontal="right" vertical="center" wrapText="1"/>
    </xf>
    <xf numFmtId="170" fontId="62" fillId="0" borderId="0" xfId="0" applyNumberFormat="1" applyFont="1" applyFill="1" applyAlignment="1">
      <alignment horizontal="center" vertical="center" wrapText="1"/>
    </xf>
    <xf numFmtId="0" fontId="78" fillId="0" borderId="13" xfId="0" applyFont="1" applyFill="1" applyBorder="1" applyAlignment="1">
      <alignment horizontal="center" wrapText="1"/>
    </xf>
    <xf numFmtId="0" fontId="78" fillId="0" borderId="0" xfId="0" quotePrefix="1" applyFont="1" applyFill="1" applyAlignment="1">
      <alignment horizontal="center"/>
    </xf>
    <xf numFmtId="170" fontId="78" fillId="0" borderId="13" xfId="0" applyNumberFormat="1" applyFont="1" applyFill="1" applyBorder="1" applyAlignment="1">
      <alignment horizontal="center" wrapText="1"/>
    </xf>
    <xf numFmtId="170" fontId="78" fillId="0" borderId="13" xfId="0" quotePrefix="1" applyNumberFormat="1" applyFont="1" applyFill="1" applyBorder="1" applyAlignment="1">
      <alignment horizontal="center" wrapText="1"/>
    </xf>
    <xf numFmtId="170" fontId="99" fillId="0" borderId="0" xfId="0" applyNumberFormat="1" applyFont="1" applyFill="1"/>
    <xf numFmtId="0" fontId="78" fillId="0" borderId="13" xfId="0" applyFont="1" applyFill="1" applyBorder="1" applyAlignment="1">
      <alignment horizontal="center"/>
    </xf>
    <xf numFmtId="0" fontId="81" fillId="0" borderId="0" xfId="0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0" borderId="19" xfId="0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 wrapText="1"/>
    </xf>
    <xf numFmtId="0" fontId="64" fillId="0" borderId="0" xfId="0" applyFont="1" applyFill="1" applyAlignment="1">
      <alignment vertical="center"/>
    </xf>
    <xf numFmtId="0" fontId="67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 shrinkToFit="1"/>
    </xf>
    <xf numFmtId="0" fontId="64" fillId="0" borderId="3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80" fontId="68" fillId="0" borderId="3" xfId="0" applyNumberFormat="1" applyFont="1" applyFill="1" applyBorder="1" applyAlignment="1">
      <alignment horizontal="center" vertical="center" wrapText="1"/>
    </xf>
    <xf numFmtId="177" fontId="68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center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71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/>
    </xf>
    <xf numFmtId="177" fontId="64" fillId="0" borderId="3" xfId="0" applyNumberFormat="1" applyFont="1" applyFill="1" applyBorder="1" applyAlignment="1">
      <alignment vertical="center"/>
    </xf>
    <xf numFmtId="177" fontId="93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/>
    </xf>
    <xf numFmtId="0" fontId="68" fillId="0" borderId="23" xfId="0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left" vertical="center" wrapText="1"/>
    </xf>
    <xf numFmtId="177" fontId="69" fillId="0" borderId="3" xfId="0" applyNumberFormat="1" applyFont="1" applyFill="1" applyBorder="1" applyAlignment="1">
      <alignment horizontal="righ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/>
    </xf>
    <xf numFmtId="0" fontId="75" fillId="0" borderId="3" xfId="0" applyFont="1" applyFill="1" applyBorder="1" applyAlignment="1">
      <alignment horizontal="center" vertical="center"/>
    </xf>
    <xf numFmtId="0" fontId="63" fillId="0" borderId="0" xfId="0" applyFont="1" applyFill="1" applyAlignment="1">
      <alignment vertical="center"/>
    </xf>
    <xf numFmtId="0" fontId="69" fillId="0" borderId="16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left" vertical="center" wrapText="1"/>
    </xf>
    <xf numFmtId="177" fontId="68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vertical="center"/>
    </xf>
    <xf numFmtId="0" fontId="71" fillId="0" borderId="3" xfId="0" applyFont="1" applyFill="1" applyBorder="1" applyAlignment="1">
      <alignment horizontal="left" vertical="center"/>
    </xf>
    <xf numFmtId="0" fontId="68" fillId="0" borderId="15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/>
    </xf>
    <xf numFmtId="0" fontId="69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vertical="center"/>
    </xf>
    <xf numFmtId="0" fontId="68" fillId="0" borderId="0" xfId="0" applyFont="1" applyFill="1" applyAlignment="1">
      <alignment horizontal="center" vertical="center" wrapText="1"/>
    </xf>
    <xf numFmtId="0" fontId="69" fillId="0" borderId="0" xfId="0" applyFont="1" applyFill="1" applyAlignment="1">
      <alignment vertical="center"/>
    </xf>
    <xf numFmtId="179" fontId="69" fillId="0" borderId="0" xfId="0" applyNumberFormat="1" applyFont="1" applyFill="1" applyAlignment="1">
      <alignment horizontal="center" vertical="center" wrapText="1"/>
    </xf>
    <xf numFmtId="177" fontId="69" fillId="0" borderId="0" xfId="0" applyNumberFormat="1" applyFont="1" applyFill="1" applyAlignment="1">
      <alignment horizontal="center" vertical="center" wrapText="1"/>
    </xf>
    <xf numFmtId="179" fontId="72" fillId="0" borderId="0" xfId="0" applyNumberFormat="1" applyFont="1" applyFill="1" applyAlignment="1">
      <alignment vertical="center"/>
    </xf>
    <xf numFmtId="0" fontId="70" fillId="0" borderId="13" xfId="0" applyFont="1" applyFill="1" applyBorder="1" applyAlignment="1">
      <alignment horizontal="center" wrapText="1"/>
    </xf>
    <xf numFmtId="0" fontId="85" fillId="0" borderId="0" xfId="0" quotePrefix="1" applyFont="1" applyFill="1" applyAlignment="1">
      <alignment horizontal="center" vertical="center"/>
    </xf>
    <xf numFmtId="170" fontId="85" fillId="0" borderId="13" xfId="0" applyNumberFormat="1" applyFont="1" applyFill="1" applyBorder="1" applyAlignment="1">
      <alignment horizontal="center" vertical="center" wrapText="1"/>
    </xf>
    <xf numFmtId="170" fontId="85" fillId="0" borderId="13" xfId="0" quotePrefix="1" applyNumberFormat="1" applyFont="1" applyFill="1" applyBorder="1" applyAlignment="1">
      <alignment horizontal="center" vertical="center" wrapText="1"/>
    </xf>
    <xf numFmtId="170" fontId="86" fillId="0" borderId="0" xfId="0" applyNumberFormat="1" applyFont="1" applyFill="1" applyAlignment="1">
      <alignment vertical="center"/>
    </xf>
    <xf numFmtId="0" fontId="70" fillId="0" borderId="13" xfId="0" applyFont="1" applyFill="1" applyBorder="1" applyAlignment="1">
      <alignment horizontal="center"/>
    </xf>
    <xf numFmtId="0" fontId="8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horizontal="left" vertical="center" wrapText="1"/>
    </xf>
    <xf numFmtId="0" fontId="64" fillId="0" borderId="0" xfId="0" applyFont="1" applyFill="1" applyAlignment="1">
      <alignment vertical="center" wrapText="1"/>
    </xf>
    <xf numFmtId="0" fontId="64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vertical="center"/>
    </xf>
    <xf numFmtId="0" fontId="68" fillId="0" borderId="3" xfId="0" applyFont="1" applyFill="1" applyBorder="1" applyAlignment="1">
      <alignment vertical="center" wrapText="1"/>
    </xf>
    <xf numFmtId="0" fontId="74" fillId="0" borderId="3" xfId="0" applyFont="1" applyFill="1" applyBorder="1" applyAlignment="1">
      <alignment horizontal="left" vertical="center"/>
    </xf>
    <xf numFmtId="179" fontId="64" fillId="0" borderId="3" xfId="0" applyNumberFormat="1" applyFont="1" applyFill="1" applyBorder="1" applyAlignment="1">
      <alignment horizontal="center" vertical="center" wrapText="1"/>
    </xf>
    <xf numFmtId="179" fontId="63" fillId="0" borderId="0" xfId="0" applyNumberFormat="1" applyFont="1" applyFill="1" applyAlignment="1">
      <alignment vertical="center"/>
    </xf>
    <xf numFmtId="49" fontId="68" fillId="0" borderId="3" xfId="0" applyNumberFormat="1" applyFont="1" applyFill="1" applyBorder="1" applyAlignment="1">
      <alignment horizontal="center" vertical="center"/>
    </xf>
    <xf numFmtId="180" fontId="63" fillId="0" borderId="0" xfId="0" applyNumberFormat="1" applyFont="1" applyFill="1" applyAlignment="1">
      <alignment vertical="center"/>
    </xf>
    <xf numFmtId="49" fontId="79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79" fontId="84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/>
    </xf>
    <xf numFmtId="179" fontId="64" fillId="0" borderId="0" xfId="0" applyNumberFormat="1" applyFont="1" applyFill="1" applyAlignment="1">
      <alignment vertical="center"/>
    </xf>
    <xf numFmtId="180" fontId="64" fillId="0" borderId="0" xfId="0" applyNumberFormat="1" applyFont="1" applyFill="1" applyAlignment="1">
      <alignment vertical="center"/>
    </xf>
    <xf numFmtId="180" fontId="64" fillId="0" borderId="0" xfId="0" applyNumberFormat="1" applyFont="1" applyFill="1" applyAlignment="1">
      <alignment horizontal="center" vertical="center"/>
    </xf>
    <xf numFmtId="0" fontId="79" fillId="0" borderId="3" xfId="0" applyFont="1" applyFill="1" applyBorder="1" applyAlignment="1">
      <alignment vertical="center"/>
    </xf>
    <xf numFmtId="180" fontId="64" fillId="0" borderId="0" xfId="0" applyNumberFormat="1" applyFont="1" applyFill="1"/>
    <xf numFmtId="179" fontId="93" fillId="0" borderId="3" xfId="0" applyNumberFormat="1" applyFont="1" applyFill="1" applyBorder="1" applyAlignment="1">
      <alignment horizontal="center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/>
    </xf>
    <xf numFmtId="179" fontId="98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79" fontId="79" fillId="0" borderId="0" xfId="0" applyNumberFormat="1" applyFont="1" applyFill="1" applyAlignment="1">
      <alignment horizontal="center" vertical="center" wrapText="1"/>
    </xf>
    <xf numFmtId="0" fontId="102" fillId="0" borderId="0" xfId="0" applyFont="1" applyFill="1" applyAlignment="1">
      <alignment vertical="center"/>
    </xf>
    <xf numFmtId="16" fontId="68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179" fontId="103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vertical="center"/>
    </xf>
    <xf numFmtId="49" fontId="70" fillId="0" borderId="3" xfId="0" applyNumberFormat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left" vertical="center"/>
    </xf>
    <xf numFmtId="0" fontId="73" fillId="0" borderId="3" xfId="0" applyFont="1" applyFill="1" applyBorder="1" applyAlignment="1">
      <alignment horizontal="left" vertical="center" wrapText="1"/>
    </xf>
    <xf numFmtId="49" fontId="80" fillId="0" borderId="3" xfId="0" applyNumberFormat="1" applyFont="1" applyFill="1" applyBorder="1" applyAlignment="1">
      <alignment horizontal="center" vertical="center"/>
    </xf>
    <xf numFmtId="49" fontId="71" fillId="0" borderId="3" xfId="0" applyNumberFormat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center" vertical="center" wrapText="1"/>
    </xf>
    <xf numFmtId="0" fontId="95" fillId="0" borderId="0" xfId="0" applyFont="1" applyFill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center"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169" fontId="63" fillId="0" borderId="3" xfId="0" applyNumberFormat="1" applyFont="1" applyFill="1" applyBorder="1" applyAlignment="1">
      <alignment horizontal="right" vertical="center"/>
    </xf>
    <xf numFmtId="179" fontId="80" fillId="0" borderId="3" xfId="0" applyNumberFormat="1" applyFont="1" applyFill="1" applyBorder="1" applyAlignment="1">
      <alignment horizontal="center" vertical="center" wrapText="1"/>
    </xf>
    <xf numFmtId="169" fontId="84" fillId="0" borderId="3" xfId="0" applyNumberFormat="1" applyFont="1" applyFill="1" applyBorder="1" applyAlignment="1">
      <alignment horizontal="right" vertical="center"/>
    </xf>
    <xf numFmtId="169" fontId="64" fillId="0" borderId="3" xfId="0" applyNumberFormat="1" applyFont="1" applyFill="1" applyBorder="1" applyAlignment="1">
      <alignment horizontal="right" vertical="center"/>
    </xf>
    <xf numFmtId="49" fontId="63" fillId="0" borderId="3" xfId="0" applyNumberFormat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49" fontId="84" fillId="0" borderId="3" xfId="0" applyNumberFormat="1" applyFont="1" applyFill="1" applyBorder="1" applyAlignment="1">
      <alignment horizontal="center" vertical="center"/>
    </xf>
    <xf numFmtId="0" fontId="79" fillId="0" borderId="15" xfId="0" applyFont="1" applyFill="1" applyBorder="1" applyAlignment="1">
      <alignment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center"/>
    </xf>
    <xf numFmtId="0" fontId="104" fillId="0" borderId="0" xfId="0" applyFont="1" applyFill="1" applyAlignment="1">
      <alignment vertical="center"/>
    </xf>
    <xf numFmtId="0" fontId="70" fillId="0" borderId="3" xfId="0" applyFont="1" applyFill="1" applyBorder="1" applyAlignment="1">
      <alignment horizontal="left" vertical="center"/>
    </xf>
    <xf numFmtId="0" fontId="80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vertical="center"/>
    </xf>
    <xf numFmtId="0" fontId="68" fillId="0" borderId="0" xfId="0" applyFont="1" applyFill="1" applyAlignment="1">
      <alignment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0" fontId="93" fillId="0" borderId="0" xfId="0" applyFont="1" applyFill="1" applyAlignment="1">
      <alignment vertical="center"/>
    </xf>
    <xf numFmtId="0" fontId="79" fillId="0" borderId="0" xfId="0" applyFont="1" applyFill="1" applyAlignment="1">
      <alignment vertical="center"/>
    </xf>
    <xf numFmtId="0" fontId="84" fillId="0" borderId="0" xfId="0" applyFont="1" applyFill="1" applyAlignment="1">
      <alignment vertical="center"/>
    </xf>
    <xf numFmtId="49" fontId="71" fillId="0" borderId="0" xfId="0" applyNumberFormat="1" applyFont="1" applyFill="1" applyAlignment="1">
      <alignment horizontal="center" vertical="center"/>
    </xf>
    <xf numFmtId="0" fontId="71" fillId="0" borderId="0" xfId="0" applyFont="1" applyFill="1" applyAlignment="1">
      <alignment horizontal="center" vertical="center" wrapText="1"/>
    </xf>
    <xf numFmtId="179" fontId="71" fillId="0" borderId="0" xfId="0" applyNumberFormat="1" applyFont="1" applyFill="1" applyAlignment="1">
      <alignment horizontal="center" vertical="center" wrapText="1"/>
    </xf>
    <xf numFmtId="179" fontId="64" fillId="0" borderId="0" xfId="0" applyNumberFormat="1" applyFont="1" applyFill="1" applyAlignment="1">
      <alignment horizontal="center" vertical="center" wrapText="1"/>
    </xf>
    <xf numFmtId="179" fontId="63" fillId="0" borderId="0" xfId="0" applyNumberFormat="1" applyFont="1" applyFill="1" applyAlignment="1">
      <alignment horizontal="center" vertical="center" wrapText="1"/>
    </xf>
    <xf numFmtId="0" fontId="69" fillId="0" borderId="0" xfId="0" applyFont="1" applyFill="1" applyAlignment="1">
      <alignment horizontal="center" vertical="center"/>
    </xf>
    <xf numFmtId="170" fontId="69" fillId="0" borderId="0" xfId="0" applyNumberFormat="1" applyFont="1" applyFill="1" applyAlignment="1">
      <alignment horizontal="center" vertical="center" wrapText="1"/>
    </xf>
    <xf numFmtId="170" fontId="64" fillId="0" borderId="0" xfId="0" applyNumberFormat="1" applyFont="1" applyFill="1" applyAlignment="1">
      <alignment horizontal="right" vertical="center" wrapText="1"/>
    </xf>
    <xf numFmtId="170" fontId="69" fillId="0" borderId="0" xfId="0" applyNumberFormat="1" applyFont="1" applyFill="1" applyAlignment="1">
      <alignment horizontal="right" vertical="center" wrapText="1"/>
    </xf>
    <xf numFmtId="0" fontId="100" fillId="0" borderId="0" xfId="0" applyFont="1" applyFill="1" applyAlignment="1">
      <alignment horizontal="center" vertical="center" wrapText="1"/>
    </xf>
    <xf numFmtId="0" fontId="70" fillId="0" borderId="0" xfId="0" quotePrefix="1" applyFont="1" applyFill="1" applyAlignment="1">
      <alignment horizontal="center" vertical="center"/>
    </xf>
    <xf numFmtId="170" fontId="70" fillId="0" borderId="13" xfId="0" applyNumberFormat="1" applyFont="1" applyFill="1" applyBorder="1" applyAlignment="1">
      <alignment horizontal="center" vertical="center" wrapText="1"/>
    </xf>
    <xf numFmtId="170" fontId="70" fillId="0" borderId="13" xfId="0" quotePrefix="1" applyNumberFormat="1" applyFont="1" applyFill="1" applyBorder="1" applyAlignment="1">
      <alignment horizontal="center" vertical="center" wrapText="1"/>
    </xf>
    <xf numFmtId="170" fontId="80" fillId="0" borderId="0" xfId="0" applyNumberFormat="1" applyFont="1" applyFill="1" applyAlignment="1">
      <alignment vertical="center"/>
    </xf>
    <xf numFmtId="0" fontId="70" fillId="0" borderId="13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71" fillId="0" borderId="19" xfId="0" applyFont="1" applyFill="1" applyBorder="1" applyAlignment="1">
      <alignment horizontal="center" vertical="center"/>
    </xf>
    <xf numFmtId="0" fontId="64" fillId="0" borderId="13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 shrinkToFit="1"/>
    </xf>
    <xf numFmtId="0" fontId="64" fillId="0" borderId="16" xfId="0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78" fillId="0" borderId="3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vertical="center"/>
    </xf>
    <xf numFmtId="179" fontId="97" fillId="0" borderId="3" xfId="0" applyNumberFormat="1" applyFont="1" applyFill="1" applyBorder="1" applyAlignment="1">
      <alignment vertical="center"/>
    </xf>
    <xf numFmtId="0" fontId="69" fillId="0" borderId="3" xfId="353" applyFont="1" applyFill="1" applyBorder="1" applyAlignment="1">
      <alignment vertical="top" wrapText="1"/>
    </xf>
    <xf numFmtId="179" fontId="93" fillId="0" borderId="3" xfId="0" applyNumberFormat="1" applyFont="1" applyFill="1" applyBorder="1" applyAlignment="1">
      <alignment vertical="center"/>
    </xf>
    <xf numFmtId="0" fontId="69" fillId="0" borderId="3" xfId="353" applyFont="1" applyFill="1" applyBorder="1" applyAlignment="1">
      <alignment vertical="center" wrapText="1"/>
    </xf>
    <xf numFmtId="0" fontId="70" fillId="0" borderId="3" xfId="0" quotePrefix="1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179" fontId="71" fillId="0" borderId="0" xfId="0" applyNumberFormat="1" applyFont="1" applyFill="1" applyAlignment="1">
      <alignment vertical="center"/>
    </xf>
    <xf numFmtId="0" fontId="100" fillId="0" borderId="0" xfId="0" applyFont="1" applyFill="1" applyAlignment="1">
      <alignment horizontal="center" wrapText="1"/>
    </xf>
    <xf numFmtId="0" fontId="81" fillId="0" borderId="0" xfId="0" quotePrefix="1" applyFont="1" applyFill="1" applyAlignment="1">
      <alignment horizontal="center" vertical="center"/>
    </xf>
    <xf numFmtId="170" fontId="71" fillId="0" borderId="13" xfId="0" applyNumberFormat="1" applyFont="1" applyFill="1" applyBorder="1" applyAlignment="1">
      <alignment horizontal="center" wrapText="1"/>
    </xf>
    <xf numFmtId="170" fontId="71" fillId="0" borderId="13" xfId="0" quotePrefix="1" applyNumberFormat="1" applyFont="1" applyFill="1" applyBorder="1" applyAlignment="1">
      <alignment horizontal="center" wrapText="1"/>
    </xf>
    <xf numFmtId="170" fontId="71" fillId="0" borderId="0" xfId="0" applyNumberFormat="1" applyFont="1" applyFill="1" applyAlignment="1">
      <alignment vertic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" xfId="0" builtinId="0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Розшифровка до Руху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1" defaultTableStyle="TableStyleMedium2" defaultPivotStyle="PivotStyleLight16">
    <tableStyle name="Invisible" pivot="0" table="0" count="0" xr9:uid="{57FD1BCC-7539-4DC5-9CC0-85B077377AF2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MSD5-BUH4\Downloads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258"/>
  <sheetViews>
    <sheetView view="pageBreakPreview" topLeftCell="A73" zoomScale="75" zoomScaleNormal="75" zoomScaleSheetLayoutView="75" workbookViewId="0">
      <selection activeCell="A73" sqref="A1:XFD1048576"/>
    </sheetView>
  </sheetViews>
  <sheetFormatPr defaultRowHeight="20.25"/>
  <cols>
    <col min="1" max="1" width="65.42578125" style="86" customWidth="1"/>
    <col min="2" max="2" width="17.28515625" style="89" customWidth="1"/>
    <col min="3" max="4" width="18" style="89" customWidth="1"/>
    <col min="5" max="5" width="18.7109375" style="86" customWidth="1"/>
    <col min="6" max="6" width="19" style="86" customWidth="1"/>
    <col min="7" max="7" width="18.7109375" style="86" customWidth="1"/>
    <col min="8" max="8" width="19.7109375" style="86" customWidth="1"/>
    <col min="9" max="9" width="10" style="86" customWidth="1"/>
    <col min="10" max="10" width="17.28515625" style="86" customWidth="1"/>
    <col min="11" max="11" width="16.28515625" style="86" customWidth="1"/>
    <col min="12" max="12" width="17.5703125" style="86" customWidth="1"/>
    <col min="13" max="13" width="10.5703125" style="86" customWidth="1"/>
    <col min="14" max="16384" width="9.140625" style="86"/>
  </cols>
  <sheetData>
    <row r="1" spans="1:8" ht="111" customHeight="1">
      <c r="A1" s="84" t="s">
        <v>336</v>
      </c>
      <c r="B1" s="85"/>
      <c r="C1" s="85"/>
      <c r="D1" s="85"/>
      <c r="E1" s="85"/>
      <c r="F1" s="85"/>
      <c r="G1" s="85"/>
      <c r="H1" s="85"/>
    </row>
    <row r="2" spans="1:8" ht="30" customHeight="1">
      <c r="A2" s="87" t="s">
        <v>17</v>
      </c>
      <c r="B2" s="87"/>
      <c r="C2" s="87"/>
      <c r="D2" s="87"/>
      <c r="E2" s="87"/>
      <c r="F2" s="87"/>
      <c r="G2" s="87"/>
      <c r="H2" s="87"/>
    </row>
    <row r="3" spans="1:8" ht="23.25" customHeight="1">
      <c r="B3" s="88"/>
      <c r="D3" s="88"/>
      <c r="E3" s="88"/>
      <c r="F3" s="88"/>
      <c r="G3" s="88"/>
      <c r="H3" s="90" t="s">
        <v>65</v>
      </c>
    </row>
    <row r="4" spans="1:8" ht="48.75" customHeight="1">
      <c r="A4" s="91" t="s">
        <v>23</v>
      </c>
      <c r="B4" s="92" t="s">
        <v>5</v>
      </c>
      <c r="C4" s="93" t="s">
        <v>128</v>
      </c>
      <c r="D4" s="93"/>
      <c r="E4" s="94" t="s">
        <v>324</v>
      </c>
      <c r="F4" s="95"/>
      <c r="G4" s="95"/>
      <c r="H4" s="96"/>
    </row>
    <row r="5" spans="1:8" ht="55.5" customHeight="1">
      <c r="A5" s="91"/>
      <c r="B5" s="92"/>
      <c r="C5" s="97" t="s">
        <v>310</v>
      </c>
      <c r="D5" s="97" t="s">
        <v>323</v>
      </c>
      <c r="E5" s="98" t="s">
        <v>273</v>
      </c>
      <c r="F5" s="99" t="s">
        <v>274</v>
      </c>
      <c r="G5" s="99" t="s">
        <v>117</v>
      </c>
      <c r="H5" s="99" t="s">
        <v>118</v>
      </c>
    </row>
    <row r="6" spans="1:8" ht="23.25" customHeight="1">
      <c r="A6" s="100">
        <v>1</v>
      </c>
      <c r="B6" s="97">
        <v>2</v>
      </c>
      <c r="C6" s="101">
        <v>3</v>
      </c>
      <c r="D6" s="101">
        <v>5</v>
      </c>
      <c r="E6" s="97">
        <v>7</v>
      </c>
      <c r="F6" s="101">
        <v>8</v>
      </c>
      <c r="G6" s="101">
        <v>9</v>
      </c>
      <c r="H6" s="101">
        <v>10</v>
      </c>
    </row>
    <row r="7" spans="1:8" ht="24.95" customHeight="1">
      <c r="A7" s="102" t="s">
        <v>106</v>
      </c>
      <c r="B7" s="102"/>
      <c r="C7" s="102"/>
      <c r="D7" s="102"/>
      <c r="E7" s="102"/>
      <c r="F7" s="102"/>
      <c r="G7" s="102"/>
      <c r="H7" s="102"/>
    </row>
    <row r="8" spans="1:8" ht="45" customHeight="1">
      <c r="A8" s="103" t="s">
        <v>129</v>
      </c>
      <c r="B8" s="104">
        <v>1000</v>
      </c>
      <c r="C8" s="105">
        <v>14220</v>
      </c>
      <c r="D8" s="105">
        <v>12403.5</v>
      </c>
      <c r="E8" s="106">
        <v>13025.1</v>
      </c>
      <c r="F8" s="105">
        <v>12403.5</v>
      </c>
      <c r="G8" s="105">
        <f>F8-E8</f>
        <v>-621.60000000000036</v>
      </c>
      <c r="H8" s="105">
        <f>(F8/E8)*100</f>
        <v>95.227675795195438</v>
      </c>
    </row>
    <row r="9" spans="1:8" ht="47.25" customHeight="1">
      <c r="A9" s="103" t="s">
        <v>73</v>
      </c>
      <c r="B9" s="104">
        <v>1010</v>
      </c>
      <c r="C9" s="106">
        <f t="shared" ref="C9" si="0">SUM(C10:C14)</f>
        <v>-12214.599999999999</v>
      </c>
      <c r="D9" s="106">
        <f t="shared" ref="D9:F9" si="1">SUM(D10:D14)</f>
        <v>-11466.8</v>
      </c>
      <c r="E9" s="106">
        <f t="shared" ref="E9" si="2">SUM(E10:E14)</f>
        <v>-11744.300000000001</v>
      </c>
      <c r="F9" s="106">
        <f t="shared" si="1"/>
        <v>-11466.8</v>
      </c>
      <c r="G9" s="105">
        <f t="shared" ref="G9:G43" si="3">F9-E9</f>
        <v>277.50000000000182</v>
      </c>
      <c r="H9" s="105">
        <f t="shared" ref="H9:H43" si="4">(F9/E9)*100</f>
        <v>97.63715163951872</v>
      </c>
    </row>
    <row r="10" spans="1:8" ht="30" customHeight="1">
      <c r="A10" s="107" t="s">
        <v>74</v>
      </c>
      <c r="B10" s="100">
        <v>1011</v>
      </c>
      <c r="C10" s="108">
        <v>-3039.9</v>
      </c>
      <c r="D10" s="108">
        <v>-2685.7</v>
      </c>
      <c r="E10" s="109">
        <v>-2315.6</v>
      </c>
      <c r="F10" s="108">
        <v>-2685.7</v>
      </c>
      <c r="G10" s="108">
        <f t="shared" si="3"/>
        <v>-370.09999999999991</v>
      </c>
      <c r="H10" s="108">
        <f t="shared" si="4"/>
        <v>115.9828986007946</v>
      </c>
    </row>
    <row r="11" spans="1:8" ht="28.5" customHeight="1">
      <c r="A11" s="107" t="s">
        <v>2</v>
      </c>
      <c r="B11" s="100">
        <v>1012</v>
      </c>
      <c r="C11" s="108">
        <v>-7069.2</v>
      </c>
      <c r="D11" s="108">
        <v>-6786.1</v>
      </c>
      <c r="E11" s="109">
        <v>-7125.5</v>
      </c>
      <c r="F11" s="108">
        <v>-6786.1</v>
      </c>
      <c r="G11" s="108">
        <f t="shared" si="3"/>
        <v>339.39999999999964</v>
      </c>
      <c r="H11" s="108">
        <f t="shared" si="4"/>
        <v>95.236825485930822</v>
      </c>
    </row>
    <row r="12" spans="1:8" ht="29.25" customHeight="1">
      <c r="A12" s="107" t="s">
        <v>3</v>
      </c>
      <c r="B12" s="100">
        <v>1013</v>
      </c>
      <c r="C12" s="108">
        <v>-1476.8</v>
      </c>
      <c r="D12" s="108">
        <v>-1377.6</v>
      </c>
      <c r="E12" s="109">
        <v>-1512.6</v>
      </c>
      <c r="F12" s="108">
        <v>-1377.6</v>
      </c>
      <c r="G12" s="108">
        <f t="shared" si="3"/>
        <v>135</v>
      </c>
      <c r="H12" s="108">
        <f t="shared" si="4"/>
        <v>91.074970249900829</v>
      </c>
    </row>
    <row r="13" spans="1:8" ht="29.25" customHeight="1">
      <c r="A13" s="107" t="s">
        <v>4</v>
      </c>
      <c r="B13" s="100">
        <v>1014</v>
      </c>
      <c r="C13" s="108">
        <v>-480.3</v>
      </c>
      <c r="D13" s="108">
        <v>-483.6</v>
      </c>
      <c r="E13" s="109">
        <v>-495</v>
      </c>
      <c r="F13" s="108">
        <v>-483.6</v>
      </c>
      <c r="G13" s="108">
        <f t="shared" si="3"/>
        <v>11.399999999999977</v>
      </c>
      <c r="H13" s="108">
        <f t="shared" si="4"/>
        <v>97.696969696969703</v>
      </c>
    </row>
    <row r="14" spans="1:8" ht="30" customHeight="1">
      <c r="A14" s="107" t="s">
        <v>58</v>
      </c>
      <c r="B14" s="100">
        <v>1015</v>
      </c>
      <c r="C14" s="108">
        <v>-148.4</v>
      </c>
      <c r="D14" s="108">
        <v>-133.80000000000001</v>
      </c>
      <c r="E14" s="109">
        <v>-295.60000000000002</v>
      </c>
      <c r="F14" s="108">
        <v>-133.80000000000001</v>
      </c>
      <c r="G14" s="108">
        <f t="shared" si="3"/>
        <v>161.80000000000001</v>
      </c>
      <c r="H14" s="108">
        <f t="shared" si="4"/>
        <v>45.263870094722598</v>
      </c>
    </row>
    <row r="15" spans="1:8" ht="28.5" customHeight="1">
      <c r="A15" s="103" t="s">
        <v>25</v>
      </c>
      <c r="B15" s="100">
        <v>1020</v>
      </c>
      <c r="C15" s="105">
        <f>SUM(C8:C9)</f>
        <v>2005.4000000000015</v>
      </c>
      <c r="D15" s="105">
        <f>SUM(D8:D9)</f>
        <v>936.70000000000073</v>
      </c>
      <c r="E15" s="105">
        <f>SUM(E8:E9)</f>
        <v>1280.7999999999993</v>
      </c>
      <c r="F15" s="105">
        <f>SUM(F8:F9)</f>
        <v>936.70000000000073</v>
      </c>
      <c r="G15" s="105">
        <f t="shared" si="3"/>
        <v>-344.09999999999854</v>
      </c>
      <c r="H15" s="105">
        <f t="shared" si="4"/>
        <v>73.133978763273049</v>
      </c>
    </row>
    <row r="16" spans="1:8" ht="40.5" customHeight="1">
      <c r="A16" s="103" t="s">
        <v>96</v>
      </c>
      <c r="B16" s="104">
        <v>1020</v>
      </c>
      <c r="C16" s="105">
        <f t="shared" ref="C16" si="5">SUM(C17:C21)</f>
        <v>-959.2</v>
      </c>
      <c r="D16" s="105">
        <f t="shared" ref="D16:F16" si="6">SUM(D17:D21)</f>
        <v>-965.9</v>
      </c>
      <c r="E16" s="106">
        <f t="shared" ref="E16" si="7">SUM(E17:E21)</f>
        <v>-1004.9</v>
      </c>
      <c r="F16" s="105">
        <f t="shared" si="6"/>
        <v>-965.9</v>
      </c>
      <c r="G16" s="105">
        <f t="shared" si="3"/>
        <v>39</v>
      </c>
      <c r="H16" s="105">
        <f t="shared" si="4"/>
        <v>96.119016817593788</v>
      </c>
    </row>
    <row r="17" spans="1:8" ht="27.75" customHeight="1">
      <c r="A17" s="107" t="s">
        <v>74</v>
      </c>
      <c r="B17" s="100">
        <v>1021</v>
      </c>
      <c r="C17" s="108">
        <v>-30.5</v>
      </c>
      <c r="D17" s="108">
        <v>-49.4</v>
      </c>
      <c r="E17" s="109">
        <v>-35</v>
      </c>
      <c r="F17" s="108">
        <v>-49.4</v>
      </c>
      <c r="G17" s="108">
        <f t="shared" si="3"/>
        <v>-14.399999999999999</v>
      </c>
      <c r="H17" s="108">
        <f t="shared" si="4"/>
        <v>141.14285714285714</v>
      </c>
    </row>
    <row r="18" spans="1:8" ht="27.75" customHeight="1">
      <c r="A18" s="107" t="s">
        <v>2</v>
      </c>
      <c r="B18" s="100">
        <v>1022</v>
      </c>
      <c r="C18" s="108">
        <v>-754.8</v>
      </c>
      <c r="D18" s="108">
        <v>-755.9</v>
      </c>
      <c r="E18" s="109">
        <v>-776.2</v>
      </c>
      <c r="F18" s="108">
        <v>-755.9</v>
      </c>
      <c r="G18" s="108">
        <f t="shared" si="3"/>
        <v>20.300000000000068</v>
      </c>
      <c r="H18" s="108">
        <f t="shared" si="4"/>
        <v>97.384694666323099</v>
      </c>
    </row>
    <row r="19" spans="1:8" ht="27.75" customHeight="1">
      <c r="A19" s="107" t="s">
        <v>3</v>
      </c>
      <c r="B19" s="100">
        <v>1023</v>
      </c>
      <c r="C19" s="108">
        <v>-157.69999999999999</v>
      </c>
      <c r="D19" s="108">
        <v>-150.19999999999999</v>
      </c>
      <c r="E19" s="109">
        <v>-163.9</v>
      </c>
      <c r="F19" s="108">
        <v>-150.19999999999999</v>
      </c>
      <c r="G19" s="108">
        <f t="shared" si="3"/>
        <v>13.700000000000017</v>
      </c>
      <c r="H19" s="108">
        <f t="shared" si="4"/>
        <v>91.641244661378892</v>
      </c>
    </row>
    <row r="20" spans="1:8" ht="27.75" customHeight="1">
      <c r="A20" s="107" t="s">
        <v>4</v>
      </c>
      <c r="B20" s="100">
        <v>1024</v>
      </c>
      <c r="C20" s="108">
        <v>0</v>
      </c>
      <c r="D20" s="108">
        <v>0</v>
      </c>
      <c r="E20" s="109">
        <v>0</v>
      </c>
      <c r="F20" s="108">
        <v>0</v>
      </c>
      <c r="G20" s="108"/>
      <c r="H20" s="108"/>
    </row>
    <row r="21" spans="1:8" ht="27.75" customHeight="1">
      <c r="A21" s="107" t="s">
        <v>75</v>
      </c>
      <c r="B21" s="100">
        <v>1025</v>
      </c>
      <c r="C21" s="108">
        <v>-16.2</v>
      </c>
      <c r="D21" s="108">
        <v>-10.4</v>
      </c>
      <c r="E21" s="109">
        <v>-29.8</v>
      </c>
      <c r="F21" s="108">
        <v>-10.4</v>
      </c>
      <c r="G21" s="108">
        <f t="shared" si="3"/>
        <v>19.399999999999999</v>
      </c>
      <c r="H21" s="108">
        <f t="shared" si="4"/>
        <v>34.899328859060404</v>
      </c>
    </row>
    <row r="22" spans="1:8" ht="31.5" customHeight="1">
      <c r="A22" s="103" t="s">
        <v>43</v>
      </c>
      <c r="B22" s="104">
        <v>1040</v>
      </c>
      <c r="C22" s="105">
        <f>SUM(C23:C24)</f>
        <v>4187</v>
      </c>
      <c r="D22" s="105">
        <f>SUM(D23:D24)</f>
        <v>3486.4</v>
      </c>
      <c r="E22" s="106">
        <f>SUM(E23:E24)</f>
        <v>4061.2</v>
      </c>
      <c r="F22" s="105">
        <f>SUM(F23:F24)</f>
        <v>3486.4</v>
      </c>
      <c r="G22" s="105">
        <f t="shared" si="3"/>
        <v>-574.79999999999973</v>
      </c>
      <c r="H22" s="105">
        <f t="shared" si="4"/>
        <v>85.846547818378809</v>
      </c>
    </row>
    <row r="23" spans="1:8" ht="30.75" customHeight="1">
      <c r="A23" s="107" t="s">
        <v>44</v>
      </c>
      <c r="B23" s="100">
        <v>1041</v>
      </c>
      <c r="C23" s="108"/>
      <c r="D23" s="108"/>
      <c r="E23" s="109"/>
      <c r="F23" s="108"/>
      <c r="G23" s="108">
        <f t="shared" si="3"/>
        <v>0</v>
      </c>
      <c r="H23" s="108"/>
    </row>
    <row r="24" spans="1:8" ht="27.75" customHeight="1">
      <c r="A24" s="107" t="s">
        <v>45</v>
      </c>
      <c r="B24" s="100">
        <v>1042</v>
      </c>
      <c r="C24" s="108">
        <v>4187</v>
      </c>
      <c r="D24" s="108">
        <v>3486.4</v>
      </c>
      <c r="E24" s="109">
        <v>4061.2</v>
      </c>
      <c r="F24" s="108">
        <v>3486.4</v>
      </c>
      <c r="G24" s="108">
        <f t="shared" si="3"/>
        <v>-574.79999999999973</v>
      </c>
      <c r="H24" s="108">
        <f t="shared" si="4"/>
        <v>85.846547818378809</v>
      </c>
    </row>
    <row r="25" spans="1:8" ht="39" customHeight="1">
      <c r="A25" s="103" t="s">
        <v>12</v>
      </c>
      <c r="B25" s="104">
        <v>1030</v>
      </c>
      <c r="C25" s="105">
        <f t="shared" ref="C25" si="8">SUM(C26:C30)</f>
        <v>-4035.6000000000004</v>
      </c>
      <c r="D25" s="105">
        <f t="shared" ref="D25:F25" si="9">SUM(D26:D30)</f>
        <v>-3838.1</v>
      </c>
      <c r="E25" s="106">
        <f>SUM(E26:E30)</f>
        <v>-4662.1999999999989</v>
      </c>
      <c r="F25" s="105">
        <f t="shared" si="9"/>
        <v>-3838.1</v>
      </c>
      <c r="G25" s="105">
        <f t="shared" si="3"/>
        <v>824.099999999999</v>
      </c>
      <c r="H25" s="105">
        <f t="shared" si="4"/>
        <v>82.323795632962998</v>
      </c>
    </row>
    <row r="26" spans="1:8" ht="27.75" customHeight="1">
      <c r="A26" s="107" t="s">
        <v>74</v>
      </c>
      <c r="B26" s="100">
        <v>1031</v>
      </c>
      <c r="C26" s="108">
        <v>-1416.9</v>
      </c>
      <c r="D26" s="108">
        <v>-1081.5</v>
      </c>
      <c r="E26" s="109">
        <v>-2070</v>
      </c>
      <c r="F26" s="108">
        <v>-1081.5</v>
      </c>
      <c r="G26" s="108">
        <f t="shared" si="3"/>
        <v>988.5</v>
      </c>
      <c r="H26" s="108">
        <f t="shared" si="4"/>
        <v>52.24637681159421</v>
      </c>
    </row>
    <row r="27" spans="1:8" ht="27.75" customHeight="1">
      <c r="A27" s="107" t="s">
        <v>2</v>
      </c>
      <c r="B27" s="100">
        <v>1032</v>
      </c>
      <c r="C27" s="108">
        <v>-1922.2</v>
      </c>
      <c r="D27" s="108">
        <v>-2065.4</v>
      </c>
      <c r="E27" s="109">
        <v>-1973.5</v>
      </c>
      <c r="F27" s="108">
        <v>-2065.4</v>
      </c>
      <c r="G27" s="108">
        <f t="shared" si="3"/>
        <v>-91.900000000000091</v>
      </c>
      <c r="H27" s="108">
        <f t="shared" si="4"/>
        <v>104.65670129212062</v>
      </c>
    </row>
    <row r="28" spans="1:8" ht="27.75" customHeight="1">
      <c r="A28" s="107" t="s">
        <v>3</v>
      </c>
      <c r="B28" s="100">
        <v>1033</v>
      </c>
      <c r="C28" s="108">
        <v>-403.2</v>
      </c>
      <c r="D28" s="108">
        <v>-463.1</v>
      </c>
      <c r="E28" s="109">
        <v>-418.4</v>
      </c>
      <c r="F28" s="108">
        <v>-463.1</v>
      </c>
      <c r="G28" s="108">
        <f t="shared" si="3"/>
        <v>-44.700000000000045</v>
      </c>
      <c r="H28" s="108">
        <f t="shared" si="4"/>
        <v>110.68355640535374</v>
      </c>
    </row>
    <row r="29" spans="1:8" ht="27.75" customHeight="1">
      <c r="A29" s="107" t="s">
        <v>4</v>
      </c>
      <c r="B29" s="100">
        <v>1034</v>
      </c>
      <c r="C29" s="108">
        <v>-4.9000000000000004</v>
      </c>
      <c r="D29" s="108">
        <v>-4.5</v>
      </c>
      <c r="E29" s="109">
        <v>-4.9000000000000004</v>
      </c>
      <c r="F29" s="108">
        <v>-4.5</v>
      </c>
      <c r="G29" s="108">
        <f t="shared" si="3"/>
        <v>0.40000000000000036</v>
      </c>
      <c r="H29" s="108"/>
    </row>
    <row r="30" spans="1:8" ht="27.75" customHeight="1">
      <c r="A30" s="107" t="s">
        <v>76</v>
      </c>
      <c r="B30" s="100">
        <v>1035</v>
      </c>
      <c r="C30" s="108">
        <v>-288.39999999999998</v>
      </c>
      <c r="D30" s="108">
        <v>-223.6</v>
      </c>
      <c r="E30" s="109">
        <v>-195.4</v>
      </c>
      <c r="F30" s="108">
        <v>-223.6</v>
      </c>
      <c r="G30" s="108">
        <f t="shared" si="3"/>
        <v>-28.199999999999989</v>
      </c>
      <c r="H30" s="108">
        <f t="shared" si="4"/>
        <v>114.43193449334697</v>
      </c>
    </row>
    <row r="31" spans="1:8" ht="47.25" customHeight="1">
      <c r="A31" s="103" t="s">
        <v>1</v>
      </c>
      <c r="B31" s="104">
        <v>1100</v>
      </c>
      <c r="C31" s="105">
        <f>SUM(C15,C16,C22,C25)</f>
        <v>1197.6000000000013</v>
      </c>
      <c r="D31" s="105">
        <f>SUM(D15,D16,D22,D25)</f>
        <v>-380.89999999999918</v>
      </c>
      <c r="E31" s="105">
        <f>SUM(E15,E16,E22,E25)</f>
        <v>-325.09999999999945</v>
      </c>
      <c r="F31" s="105">
        <f>SUM(F15,F16,F22,F25)</f>
        <v>-380.89999999999918</v>
      </c>
      <c r="G31" s="105">
        <f t="shared" si="3"/>
        <v>-55.799999999999727</v>
      </c>
      <c r="H31" s="105">
        <f t="shared" si="4"/>
        <v>117.16394955398333</v>
      </c>
    </row>
    <row r="32" spans="1:8" ht="27.75" customHeight="1">
      <c r="A32" s="103" t="s">
        <v>130</v>
      </c>
      <c r="B32" s="104">
        <v>1130</v>
      </c>
      <c r="C32" s="105">
        <v>502.7</v>
      </c>
      <c r="D32" s="105">
        <v>281</v>
      </c>
      <c r="E32" s="106">
        <v>400</v>
      </c>
      <c r="F32" s="105">
        <v>281</v>
      </c>
      <c r="G32" s="105">
        <f t="shared" si="3"/>
        <v>-119</v>
      </c>
      <c r="H32" s="105">
        <f t="shared" si="4"/>
        <v>70.25</v>
      </c>
    </row>
    <row r="33" spans="1:12" ht="27.75" customHeight="1">
      <c r="A33" s="110" t="s">
        <v>131</v>
      </c>
      <c r="B33" s="104">
        <v>1140</v>
      </c>
      <c r="C33" s="108" t="s">
        <v>26</v>
      </c>
      <c r="D33" s="108" t="s">
        <v>26</v>
      </c>
      <c r="E33" s="109" t="s">
        <v>26</v>
      </c>
      <c r="F33" s="108" t="s">
        <v>26</v>
      </c>
      <c r="G33" s="105"/>
      <c r="H33" s="105"/>
    </row>
    <row r="34" spans="1:12" ht="27.75" customHeight="1">
      <c r="A34" s="103" t="s">
        <v>132</v>
      </c>
      <c r="B34" s="104">
        <v>1150</v>
      </c>
      <c r="C34" s="105">
        <v>135</v>
      </c>
      <c r="D34" s="105">
        <v>135.5</v>
      </c>
      <c r="E34" s="106">
        <v>125</v>
      </c>
      <c r="F34" s="105">
        <v>135.5</v>
      </c>
      <c r="G34" s="105">
        <f t="shared" si="3"/>
        <v>10.5</v>
      </c>
      <c r="H34" s="105">
        <f t="shared" si="4"/>
        <v>108.4</v>
      </c>
    </row>
    <row r="35" spans="1:12" ht="27.75" customHeight="1">
      <c r="A35" s="103" t="s">
        <v>133</v>
      </c>
      <c r="B35" s="104">
        <v>1160</v>
      </c>
      <c r="C35" s="108" t="s">
        <v>26</v>
      </c>
      <c r="D35" s="108" t="s">
        <v>26</v>
      </c>
      <c r="E35" s="109" t="s">
        <v>26</v>
      </c>
      <c r="F35" s="108" t="s">
        <v>26</v>
      </c>
      <c r="G35" s="105"/>
      <c r="H35" s="105"/>
    </row>
    <row r="36" spans="1:12" ht="28.5" customHeight="1">
      <c r="A36" s="103" t="s">
        <v>15</v>
      </c>
      <c r="B36" s="104">
        <v>1170</v>
      </c>
      <c r="C36" s="105">
        <f>SUM(C31, C32:C35)</f>
        <v>1835.3000000000013</v>
      </c>
      <c r="D36" s="105">
        <f>SUM(D31, D32:D35)</f>
        <v>35.600000000000819</v>
      </c>
      <c r="E36" s="106">
        <f>SUM(E31, E32:E35)</f>
        <v>199.90000000000055</v>
      </c>
      <c r="F36" s="105">
        <f>SUM(F31, F32:F35)</f>
        <v>35.600000000000819</v>
      </c>
      <c r="G36" s="105">
        <f t="shared" si="3"/>
        <v>-164.29999999999973</v>
      </c>
      <c r="H36" s="105">
        <f t="shared" si="4"/>
        <v>17.808904452226475</v>
      </c>
    </row>
    <row r="37" spans="1:12" ht="27.75" customHeight="1">
      <c r="A37" s="110" t="s">
        <v>28</v>
      </c>
      <c r="B37" s="100">
        <v>1180</v>
      </c>
      <c r="C37" s="108" t="s">
        <v>26</v>
      </c>
      <c r="D37" s="108" t="s">
        <v>26</v>
      </c>
      <c r="E37" s="109" t="s">
        <v>26</v>
      </c>
      <c r="F37" s="108" t="s">
        <v>26</v>
      </c>
      <c r="G37" s="108"/>
      <c r="H37" s="108"/>
    </row>
    <row r="38" spans="1:12" ht="27" customHeight="1">
      <c r="A38" s="110" t="s">
        <v>29</v>
      </c>
      <c r="B38" s="100">
        <v>1181</v>
      </c>
      <c r="C38" s="108"/>
      <c r="D38" s="108"/>
      <c r="E38" s="109"/>
      <c r="F38" s="108"/>
      <c r="G38" s="105"/>
      <c r="H38" s="108"/>
    </row>
    <row r="39" spans="1:12" ht="28.5" customHeight="1">
      <c r="A39" s="103" t="s">
        <v>54</v>
      </c>
      <c r="B39" s="100">
        <v>1200</v>
      </c>
      <c r="C39" s="105">
        <f>SUM(C36:C38)</f>
        <v>1835.3000000000013</v>
      </c>
      <c r="D39" s="105">
        <f>SUM(D36:D38)</f>
        <v>35.600000000000819</v>
      </c>
      <c r="E39" s="106">
        <f>SUM(E36:E38)</f>
        <v>199.90000000000055</v>
      </c>
      <c r="F39" s="105">
        <f>SUM(F36:F38)</f>
        <v>35.600000000000819</v>
      </c>
      <c r="G39" s="105">
        <f t="shared" si="3"/>
        <v>-164.29999999999973</v>
      </c>
      <c r="H39" s="105">
        <f t="shared" si="4"/>
        <v>17.808904452226475</v>
      </c>
    </row>
    <row r="40" spans="1:12" ht="31.5" customHeight="1">
      <c r="A40" s="110" t="s">
        <v>55</v>
      </c>
      <c r="B40" s="100">
        <v>1201</v>
      </c>
      <c r="C40" s="109">
        <f t="shared" ref="C40" si="10">SUM(C37:C39)</f>
        <v>1835.3000000000013</v>
      </c>
      <c r="D40" s="109">
        <f t="shared" ref="D40:F40" si="11">SUM(D37:D39)</f>
        <v>35.600000000000819</v>
      </c>
      <c r="E40" s="109">
        <f t="shared" ref="E40" si="12">SUM(E37:E39)</f>
        <v>199.90000000000055</v>
      </c>
      <c r="F40" s="109">
        <f t="shared" si="11"/>
        <v>35.600000000000819</v>
      </c>
      <c r="G40" s="108"/>
      <c r="H40" s="108"/>
    </row>
    <row r="41" spans="1:12" ht="33" customHeight="1">
      <c r="A41" s="110" t="s">
        <v>56</v>
      </c>
      <c r="B41" s="100">
        <v>1202</v>
      </c>
      <c r="C41" s="108" t="s">
        <v>26</v>
      </c>
      <c r="D41" s="108" t="s">
        <v>26</v>
      </c>
      <c r="E41" s="109" t="s">
        <v>26</v>
      </c>
      <c r="F41" s="108" t="s">
        <v>26</v>
      </c>
      <c r="G41" s="108"/>
      <c r="H41" s="108"/>
    </row>
    <row r="42" spans="1:12" ht="33" customHeight="1">
      <c r="A42" s="103" t="s">
        <v>124</v>
      </c>
      <c r="B42" s="104">
        <v>1210</v>
      </c>
      <c r="C42" s="105">
        <f t="shared" ref="C42" si="13">SUM(C8,C22,C32,C34,C38)</f>
        <v>19044.7</v>
      </c>
      <c r="D42" s="105">
        <f t="shared" ref="D42:F42" si="14">SUM(D8,D22,D32,D34,D38)</f>
        <v>16306.4</v>
      </c>
      <c r="E42" s="106">
        <f>SUM(E8,E22,E32,E34,E38)</f>
        <v>17611.3</v>
      </c>
      <c r="F42" s="105">
        <f t="shared" si="14"/>
        <v>16306.4</v>
      </c>
      <c r="G42" s="105">
        <f t="shared" si="3"/>
        <v>-1304.8999999999996</v>
      </c>
      <c r="H42" s="105">
        <f t="shared" si="4"/>
        <v>92.590552656533021</v>
      </c>
    </row>
    <row r="43" spans="1:12" ht="33" customHeight="1">
      <c r="A43" s="103" t="s">
        <v>125</v>
      </c>
      <c r="B43" s="104">
        <v>1220</v>
      </c>
      <c r="C43" s="105">
        <f t="shared" ref="C43" si="15">SUM(C9,C16,C25,C33,C35,C37)</f>
        <v>-17209.400000000001</v>
      </c>
      <c r="D43" s="105">
        <f t="shared" ref="D43:F43" si="16">SUM(D9,D16,D25,D33,D35,D37)</f>
        <v>-16270.8</v>
      </c>
      <c r="E43" s="106">
        <f>SUM(E9,E16,E25,E33,E35,E37)</f>
        <v>-17411.400000000001</v>
      </c>
      <c r="F43" s="105">
        <f t="shared" si="16"/>
        <v>-16270.8</v>
      </c>
      <c r="G43" s="105">
        <f t="shared" si="3"/>
        <v>1140.6000000000022</v>
      </c>
      <c r="H43" s="105">
        <f t="shared" si="4"/>
        <v>93.449119542368791</v>
      </c>
    </row>
    <row r="44" spans="1:12" ht="30.75" customHeight="1">
      <c r="A44" s="111" t="s">
        <v>19</v>
      </c>
      <c r="B44" s="112"/>
      <c r="C44" s="105"/>
      <c r="D44" s="105"/>
      <c r="E44" s="113"/>
      <c r="F44" s="105"/>
      <c r="G44" s="114"/>
      <c r="H44" s="114"/>
      <c r="L44" s="115"/>
    </row>
    <row r="45" spans="1:12" ht="30.75" customHeight="1">
      <c r="A45" s="107" t="s">
        <v>64</v>
      </c>
      <c r="B45" s="97">
        <v>9000</v>
      </c>
      <c r="C45" s="108">
        <f>-C10-C17-C26</f>
        <v>4487.3</v>
      </c>
      <c r="D45" s="108">
        <f t="shared" ref="D45:E45" si="17">-D10-D17-D26</f>
        <v>3816.6</v>
      </c>
      <c r="E45" s="109">
        <f t="shared" si="17"/>
        <v>4420.6000000000004</v>
      </c>
      <c r="F45" s="108">
        <f>D45</f>
        <v>3816.6</v>
      </c>
      <c r="G45" s="116">
        <f t="shared" ref="G45:G50" si="18">F45-E45</f>
        <v>-604.00000000000045</v>
      </c>
      <c r="H45" s="116">
        <f t="shared" ref="H45:H50" si="19">(F45/E45)*100</f>
        <v>86.336696376057546</v>
      </c>
      <c r="J45" s="115"/>
    </row>
    <row r="46" spans="1:12" ht="30.75" customHeight="1">
      <c r="A46" s="107" t="s">
        <v>2</v>
      </c>
      <c r="B46" s="97">
        <v>9010</v>
      </c>
      <c r="C46" s="108">
        <f>-C11-C18-C27</f>
        <v>9746.2000000000007</v>
      </c>
      <c r="D46" s="108">
        <f t="shared" ref="D46:E46" si="20">-D11-D18-D27</f>
        <v>9607.4</v>
      </c>
      <c r="E46" s="109">
        <f t="shared" si="20"/>
        <v>9875.2000000000007</v>
      </c>
      <c r="F46" s="108">
        <f t="shared" ref="F46:F49" si="21">D46</f>
        <v>9607.4</v>
      </c>
      <c r="G46" s="116">
        <f t="shared" si="18"/>
        <v>-267.80000000000109</v>
      </c>
      <c r="H46" s="116">
        <f t="shared" si="19"/>
        <v>97.288156189241732</v>
      </c>
      <c r="J46" s="115"/>
    </row>
    <row r="47" spans="1:12" ht="30.75" customHeight="1">
      <c r="A47" s="107" t="s">
        <v>3</v>
      </c>
      <c r="B47" s="97">
        <v>9020</v>
      </c>
      <c r="C47" s="108">
        <f>-C12-C19-C28</f>
        <v>2037.7</v>
      </c>
      <c r="D47" s="108">
        <f t="shared" ref="D47:E47" si="22">-D12-D19-D28</f>
        <v>1990.9</v>
      </c>
      <c r="E47" s="109">
        <f t="shared" si="22"/>
        <v>2094.9</v>
      </c>
      <c r="F47" s="108">
        <f t="shared" si="21"/>
        <v>1990.9</v>
      </c>
      <c r="G47" s="116">
        <f t="shared" si="18"/>
        <v>-104</v>
      </c>
      <c r="H47" s="116">
        <f t="shared" si="19"/>
        <v>95.035562556685278</v>
      </c>
      <c r="J47" s="115"/>
    </row>
    <row r="48" spans="1:12" ht="30.75" customHeight="1">
      <c r="A48" s="107" t="s">
        <v>4</v>
      </c>
      <c r="B48" s="97">
        <v>9030</v>
      </c>
      <c r="C48" s="108">
        <f>-C13-C20-C29</f>
        <v>485.2</v>
      </c>
      <c r="D48" s="108">
        <f t="shared" ref="D48:E48" si="23">-D13-D20-D29</f>
        <v>488.1</v>
      </c>
      <c r="E48" s="109">
        <f t="shared" si="23"/>
        <v>499.9</v>
      </c>
      <c r="F48" s="108">
        <f t="shared" si="21"/>
        <v>488.1</v>
      </c>
      <c r="G48" s="116">
        <f t="shared" si="18"/>
        <v>-11.799999999999955</v>
      </c>
      <c r="H48" s="116">
        <f t="shared" si="19"/>
        <v>97.639527905581119</v>
      </c>
      <c r="J48" s="115"/>
    </row>
    <row r="49" spans="1:11" ht="30.75" customHeight="1">
      <c r="A49" s="107" t="s">
        <v>6</v>
      </c>
      <c r="B49" s="97">
        <v>9040</v>
      </c>
      <c r="C49" s="108">
        <f>-C14-C21-C30</f>
        <v>453</v>
      </c>
      <c r="D49" s="108">
        <f t="shared" ref="D49:E49" si="24">-D14-D21-D30</f>
        <v>367.8</v>
      </c>
      <c r="E49" s="109">
        <f t="shared" si="24"/>
        <v>520.80000000000007</v>
      </c>
      <c r="F49" s="108">
        <f t="shared" si="21"/>
        <v>367.8</v>
      </c>
      <c r="G49" s="116">
        <f t="shared" si="18"/>
        <v>-153.00000000000006</v>
      </c>
      <c r="H49" s="116">
        <f t="shared" si="19"/>
        <v>70.622119815668199</v>
      </c>
      <c r="J49" s="115"/>
    </row>
    <row r="50" spans="1:11" ht="30.75" customHeight="1">
      <c r="A50" s="111" t="s">
        <v>9</v>
      </c>
      <c r="B50" s="112">
        <v>9050</v>
      </c>
      <c r="C50" s="105">
        <f t="shared" ref="C50" si="25">SUM(C45:C49)</f>
        <v>17209.400000000001</v>
      </c>
      <c r="D50" s="105">
        <f t="shared" ref="D50:F50" si="26">SUM(D45:D49)</f>
        <v>16270.8</v>
      </c>
      <c r="E50" s="106">
        <f t="shared" ref="E50" si="27">SUM(E45:E49)</f>
        <v>17411.400000000001</v>
      </c>
      <c r="F50" s="105">
        <f t="shared" si="26"/>
        <v>16270.8</v>
      </c>
      <c r="G50" s="117">
        <f t="shared" si="18"/>
        <v>-1140.6000000000022</v>
      </c>
      <c r="H50" s="117">
        <f t="shared" si="19"/>
        <v>93.449119542368791</v>
      </c>
    </row>
    <row r="51" spans="1:11" ht="24.95" customHeight="1">
      <c r="A51" s="118" t="s">
        <v>107</v>
      </c>
      <c r="B51" s="118"/>
      <c r="C51" s="118"/>
      <c r="D51" s="118"/>
      <c r="E51" s="118"/>
      <c r="F51" s="118"/>
      <c r="G51" s="118"/>
      <c r="H51" s="118"/>
    </row>
    <row r="52" spans="1:11" ht="69" customHeight="1">
      <c r="A52" s="119" t="s">
        <v>137</v>
      </c>
      <c r="B52" s="104">
        <v>2110</v>
      </c>
      <c r="C52" s="105">
        <f>SUM(C53:C56)</f>
        <v>-149.29999999999998</v>
      </c>
      <c r="D52" s="105">
        <f>SUM(D53:D56)</f>
        <v>-147.59999999999997</v>
      </c>
      <c r="E52" s="106">
        <f t="shared" ref="E52" si="28">SUM(E53:E56)</f>
        <v>-150.80000000000001</v>
      </c>
      <c r="F52" s="105">
        <f>SUM(F53:F56)</f>
        <v>-147.59999999999997</v>
      </c>
      <c r="G52" s="105">
        <f>F52-E52</f>
        <v>3.2000000000000455</v>
      </c>
      <c r="H52" s="105">
        <f>(F52/E52)*100</f>
        <v>97.877984084880609</v>
      </c>
    </row>
    <row r="53" spans="1:11" ht="44.25" customHeight="1">
      <c r="A53" s="107" t="s">
        <v>61</v>
      </c>
      <c r="B53" s="100">
        <v>2111</v>
      </c>
      <c r="C53" s="108">
        <v>-246.7</v>
      </c>
      <c r="D53" s="108">
        <v>-261.2</v>
      </c>
      <c r="E53" s="109">
        <v>-121.2</v>
      </c>
      <c r="F53" s="108">
        <v>-261.2</v>
      </c>
      <c r="G53" s="108">
        <f t="shared" ref="G53:G55" si="29">F53-E53</f>
        <v>-140</v>
      </c>
      <c r="H53" s="108">
        <f>(F53/E53)*100</f>
        <v>215.51155115511551</v>
      </c>
    </row>
    <row r="54" spans="1:11" ht="45.75" customHeight="1">
      <c r="A54" s="120" t="s">
        <v>62</v>
      </c>
      <c r="B54" s="100">
        <v>2112</v>
      </c>
      <c r="C54" s="108">
        <v>243.3</v>
      </c>
      <c r="D54" s="108">
        <v>257.60000000000002</v>
      </c>
      <c r="E54" s="109">
        <v>118.5</v>
      </c>
      <c r="F54" s="108">
        <v>257.60000000000002</v>
      </c>
      <c r="G54" s="108">
        <f t="shared" si="29"/>
        <v>139.10000000000002</v>
      </c>
      <c r="H54" s="108">
        <f t="shared" ref="H54:H68" si="30">(F54/E54)*100</f>
        <v>217.38396624472577</v>
      </c>
      <c r="K54" s="115"/>
    </row>
    <row r="55" spans="1:11" ht="28.5" customHeight="1">
      <c r="A55" s="107" t="s">
        <v>68</v>
      </c>
      <c r="B55" s="100">
        <v>2113</v>
      </c>
      <c r="C55" s="108">
        <v>-145.9</v>
      </c>
      <c r="D55" s="108">
        <v>-144</v>
      </c>
      <c r="E55" s="109">
        <v>-148.1</v>
      </c>
      <c r="F55" s="108">
        <f>D55</f>
        <v>-144</v>
      </c>
      <c r="G55" s="108">
        <f t="shared" si="29"/>
        <v>4.0999999999999943</v>
      </c>
      <c r="H55" s="108">
        <f t="shared" si="30"/>
        <v>97.231600270087782</v>
      </c>
    </row>
    <row r="56" spans="1:11" ht="33" customHeight="1">
      <c r="A56" s="107" t="s">
        <v>49</v>
      </c>
      <c r="B56" s="100">
        <v>2114</v>
      </c>
      <c r="C56" s="108" t="s">
        <v>26</v>
      </c>
      <c r="D56" s="108" t="s">
        <v>26</v>
      </c>
      <c r="E56" s="109" t="s">
        <v>26</v>
      </c>
      <c r="F56" s="108" t="s">
        <v>26</v>
      </c>
      <c r="G56" s="108"/>
      <c r="H56" s="108"/>
    </row>
    <row r="57" spans="1:11" ht="43.5" customHeight="1">
      <c r="A57" s="121" t="s">
        <v>66</v>
      </c>
      <c r="B57" s="112">
        <v>2120</v>
      </c>
      <c r="C57" s="105">
        <f>SUM(C58:C63)</f>
        <v>-1771.9</v>
      </c>
      <c r="D57" s="105">
        <f>SUM(D58:D63)</f>
        <v>-1754.1</v>
      </c>
      <c r="E57" s="106">
        <f>SUM(E58:E63)</f>
        <v>-1802.5</v>
      </c>
      <c r="F57" s="105">
        <f>SUM(F58:F63)</f>
        <v>-1754.1</v>
      </c>
      <c r="G57" s="105">
        <f>F57-E57</f>
        <v>48.400000000000091</v>
      </c>
      <c r="H57" s="105">
        <f t="shared" si="30"/>
        <v>97.314840499306513</v>
      </c>
    </row>
    <row r="58" spans="1:11" ht="36" customHeight="1">
      <c r="A58" s="120" t="s">
        <v>46</v>
      </c>
      <c r="B58" s="97">
        <v>2121</v>
      </c>
      <c r="C58" s="108" t="s">
        <v>26</v>
      </c>
      <c r="D58" s="108" t="s">
        <v>26</v>
      </c>
      <c r="E58" s="109" t="s">
        <v>26</v>
      </c>
      <c r="F58" s="108" t="s">
        <v>26</v>
      </c>
      <c r="G58" s="108"/>
      <c r="H58" s="108"/>
    </row>
    <row r="59" spans="1:11" ht="33.75" customHeight="1">
      <c r="A59" s="107" t="s">
        <v>14</v>
      </c>
      <c r="B59" s="97">
        <v>2122</v>
      </c>
      <c r="C59" s="108">
        <v>-1749.4</v>
      </c>
      <c r="D59" s="108">
        <v>-1729</v>
      </c>
      <c r="E59" s="109">
        <v>-1777.5</v>
      </c>
      <c r="F59" s="108">
        <f>D59</f>
        <v>-1729</v>
      </c>
      <c r="G59" s="108">
        <f>F59-E59</f>
        <v>48.5</v>
      </c>
      <c r="H59" s="108">
        <f t="shared" si="30"/>
        <v>97.271448663853732</v>
      </c>
    </row>
    <row r="60" spans="1:11" ht="31.5" customHeight="1">
      <c r="A60" s="107" t="s">
        <v>52</v>
      </c>
      <c r="B60" s="97">
        <v>2123</v>
      </c>
      <c r="C60" s="108">
        <v>-22.5</v>
      </c>
      <c r="D60" s="108">
        <v>-25.1</v>
      </c>
      <c r="E60" s="109">
        <v>-25</v>
      </c>
      <c r="F60" s="108">
        <v>-25.1</v>
      </c>
      <c r="G60" s="108"/>
      <c r="H60" s="108"/>
    </row>
    <row r="61" spans="1:11" ht="31.5" customHeight="1">
      <c r="A61" s="107" t="s">
        <v>53</v>
      </c>
      <c r="B61" s="97">
        <v>2124</v>
      </c>
      <c r="C61" s="108" t="s">
        <v>26</v>
      </c>
      <c r="D61" s="108" t="s">
        <v>26</v>
      </c>
      <c r="E61" s="109" t="s">
        <v>26</v>
      </c>
      <c r="F61" s="108" t="s">
        <v>26</v>
      </c>
      <c r="G61" s="108"/>
      <c r="H61" s="108"/>
    </row>
    <row r="62" spans="1:11" ht="96.75" customHeight="1">
      <c r="A62" s="107" t="s">
        <v>126</v>
      </c>
      <c r="B62" s="97">
        <v>2125</v>
      </c>
      <c r="C62" s="108" t="s">
        <v>26</v>
      </c>
      <c r="D62" s="108" t="s">
        <v>26</v>
      </c>
      <c r="E62" s="109" t="s">
        <v>26</v>
      </c>
      <c r="F62" s="108" t="s">
        <v>26</v>
      </c>
      <c r="G62" s="108"/>
      <c r="H62" s="108"/>
    </row>
    <row r="63" spans="1:11" ht="31.5" customHeight="1">
      <c r="A63" s="107" t="s">
        <v>49</v>
      </c>
      <c r="B63" s="97">
        <v>2126</v>
      </c>
      <c r="C63" s="108" t="s">
        <v>26</v>
      </c>
      <c r="D63" s="108" t="s">
        <v>26</v>
      </c>
      <c r="E63" s="109" t="s">
        <v>26</v>
      </c>
      <c r="F63" s="108" t="s">
        <v>26</v>
      </c>
      <c r="G63" s="108"/>
      <c r="H63" s="108"/>
    </row>
    <row r="64" spans="1:11" ht="48" customHeight="1">
      <c r="A64" s="119" t="s">
        <v>67</v>
      </c>
      <c r="B64" s="112">
        <v>2130</v>
      </c>
      <c r="C64" s="105">
        <f t="shared" ref="C64:D64" si="31">SUM(C65:C67)</f>
        <v>-2120.5</v>
      </c>
      <c r="D64" s="105">
        <f t="shared" si="31"/>
        <v>-2073.7000000000003</v>
      </c>
      <c r="E64" s="106">
        <f t="shared" ref="E64:F64" si="32">SUM(E65:E67)</f>
        <v>-2179.4</v>
      </c>
      <c r="F64" s="105">
        <f t="shared" si="32"/>
        <v>-2073.7000000000003</v>
      </c>
      <c r="G64" s="105">
        <f>F64-E64</f>
        <v>105.69999999999982</v>
      </c>
      <c r="H64" s="105">
        <f t="shared" si="30"/>
        <v>95.150041295769483</v>
      </c>
    </row>
    <row r="65" spans="1:8" ht="33" customHeight="1">
      <c r="A65" s="107" t="s">
        <v>50</v>
      </c>
      <c r="B65" s="97">
        <v>2131</v>
      </c>
      <c r="C65" s="108" t="s">
        <v>26</v>
      </c>
      <c r="D65" s="108" t="s">
        <v>26</v>
      </c>
      <c r="E65" s="109" t="s">
        <v>26</v>
      </c>
      <c r="F65" s="108" t="s">
        <v>26</v>
      </c>
      <c r="G65" s="108"/>
      <c r="H65" s="108"/>
    </row>
    <row r="66" spans="1:8" ht="44.25" customHeight="1">
      <c r="A66" s="107" t="s">
        <v>51</v>
      </c>
      <c r="B66" s="97">
        <v>2132</v>
      </c>
      <c r="C66" s="108">
        <f>-C47</f>
        <v>-2037.7</v>
      </c>
      <c r="D66" s="108">
        <f>-D47</f>
        <v>-1990.9</v>
      </c>
      <c r="E66" s="109">
        <v>-2094.9</v>
      </c>
      <c r="F66" s="108">
        <f>D66</f>
        <v>-1990.9</v>
      </c>
      <c r="G66" s="108">
        <f>F66-E66</f>
        <v>104</v>
      </c>
      <c r="H66" s="108">
        <f t="shared" si="30"/>
        <v>95.035562556685278</v>
      </c>
    </row>
    <row r="67" spans="1:8" ht="39.75" customHeight="1">
      <c r="A67" s="107" t="s">
        <v>258</v>
      </c>
      <c r="B67" s="97">
        <v>2133</v>
      </c>
      <c r="C67" s="108">
        <v>-82.8</v>
      </c>
      <c r="D67" s="108">
        <v>-82.8</v>
      </c>
      <c r="E67" s="109">
        <v>-84.5</v>
      </c>
      <c r="F67" s="108">
        <v>-82.8</v>
      </c>
      <c r="G67" s="108">
        <f t="shared" ref="G67:G68" si="33">F67-E67</f>
        <v>1.7000000000000028</v>
      </c>
      <c r="H67" s="108">
        <f t="shared" si="30"/>
        <v>97.988165680473372</v>
      </c>
    </row>
    <row r="68" spans="1:8" ht="30.75" customHeight="1">
      <c r="A68" s="121" t="s">
        <v>63</v>
      </c>
      <c r="B68" s="112">
        <v>2200</v>
      </c>
      <c r="C68" s="106">
        <f>SUM(C52+C57+C64)</f>
        <v>-4041.7</v>
      </c>
      <c r="D68" s="106">
        <f>SUM(D52+D57+D64)</f>
        <v>-3975.4</v>
      </c>
      <c r="E68" s="106">
        <f>SUM(E52+E57+E64)</f>
        <v>-4132.7</v>
      </c>
      <c r="F68" s="106">
        <f>SUM(F52+F57+F64)</f>
        <v>-3975.4</v>
      </c>
      <c r="G68" s="105">
        <f t="shared" si="33"/>
        <v>157.29999999999973</v>
      </c>
      <c r="H68" s="105">
        <f t="shared" si="30"/>
        <v>96.19377162629759</v>
      </c>
    </row>
    <row r="69" spans="1:8" ht="24.95" customHeight="1">
      <c r="A69" s="122" t="s">
        <v>108</v>
      </c>
      <c r="B69" s="123"/>
      <c r="C69" s="123"/>
      <c r="D69" s="123"/>
      <c r="E69" s="123"/>
      <c r="F69" s="123"/>
      <c r="G69" s="123"/>
      <c r="H69" s="123"/>
    </row>
    <row r="70" spans="1:8" ht="27.75" customHeight="1">
      <c r="A70" s="124" t="s">
        <v>18</v>
      </c>
      <c r="B70" s="104">
        <v>4000</v>
      </c>
      <c r="C70" s="105">
        <f>SUM(C71:C77)</f>
        <v>-102.69999999999999</v>
      </c>
      <c r="D70" s="105">
        <f>SUM(D71:D77)</f>
        <v>-158.9</v>
      </c>
      <c r="E70" s="106">
        <f t="shared" ref="E70" si="34">SUM(E71:E77)</f>
        <v>-400</v>
      </c>
      <c r="F70" s="105">
        <f>SUM(F71:F77)</f>
        <v>-158.9</v>
      </c>
      <c r="G70" s="105">
        <f>F70-E70</f>
        <v>241.1</v>
      </c>
      <c r="H70" s="105">
        <f>(F70/E70)*100</f>
        <v>39.725000000000001</v>
      </c>
    </row>
    <row r="71" spans="1:8" ht="37.5" customHeight="1">
      <c r="A71" s="125" t="s">
        <v>69</v>
      </c>
      <c r="B71" s="100">
        <v>4010</v>
      </c>
      <c r="C71" s="108" t="s">
        <v>26</v>
      </c>
      <c r="D71" s="108" t="s">
        <v>26</v>
      </c>
      <c r="E71" s="109" t="s">
        <v>26</v>
      </c>
      <c r="F71" s="108" t="s">
        <v>26</v>
      </c>
      <c r="G71" s="108"/>
      <c r="H71" s="108"/>
    </row>
    <row r="72" spans="1:8" ht="48.75" customHeight="1">
      <c r="A72" s="126" t="s">
        <v>134</v>
      </c>
      <c r="B72" s="100">
        <v>4020</v>
      </c>
      <c r="C72" s="108">
        <v>-81.099999999999994</v>
      </c>
      <c r="D72" s="108">
        <v>-158.9</v>
      </c>
      <c r="E72" s="109" t="s">
        <v>322</v>
      </c>
      <c r="F72" s="108">
        <v>-158.9</v>
      </c>
      <c r="G72" s="108" t="e">
        <f t="shared" ref="G72:G76" si="35">F72-E72</f>
        <v>#VALUE!</v>
      </c>
      <c r="H72" s="108" t="e">
        <f t="shared" ref="H72:H74" si="36">(F72/E72)*100</f>
        <v>#VALUE!</v>
      </c>
    </row>
    <row r="73" spans="1:8" ht="48.75" customHeight="1">
      <c r="A73" s="126" t="s">
        <v>77</v>
      </c>
      <c r="B73" s="100">
        <v>4030</v>
      </c>
      <c r="C73" s="108">
        <v>-21.6</v>
      </c>
      <c r="D73" s="108" t="s">
        <v>322</v>
      </c>
      <c r="E73" s="109">
        <v>-400</v>
      </c>
      <c r="F73" s="108">
        <v>0</v>
      </c>
      <c r="G73" s="108">
        <f t="shared" si="35"/>
        <v>400</v>
      </c>
      <c r="H73" s="108">
        <f t="shared" si="36"/>
        <v>0</v>
      </c>
    </row>
    <row r="74" spans="1:8" ht="49.5" customHeight="1">
      <c r="A74" s="126" t="s">
        <v>135</v>
      </c>
      <c r="B74" s="100">
        <v>4040</v>
      </c>
      <c r="C74" s="108"/>
      <c r="D74" s="108"/>
      <c r="E74" s="109">
        <v>0</v>
      </c>
      <c r="F74" s="108"/>
      <c r="G74" s="108">
        <f t="shared" si="35"/>
        <v>0</v>
      </c>
      <c r="H74" s="127" t="e">
        <f t="shared" si="36"/>
        <v>#DIV/0!</v>
      </c>
    </row>
    <row r="75" spans="1:8" ht="73.5" customHeight="1">
      <c r="A75" s="107" t="s">
        <v>70</v>
      </c>
      <c r="B75" s="100">
        <v>4050</v>
      </c>
      <c r="C75" s="108" t="s">
        <v>26</v>
      </c>
      <c r="D75" s="108" t="s">
        <v>26</v>
      </c>
      <c r="E75" s="109" t="s">
        <v>26</v>
      </c>
      <c r="F75" s="108" t="s">
        <v>26</v>
      </c>
      <c r="G75" s="108"/>
      <c r="H75" s="108"/>
    </row>
    <row r="76" spans="1:8" ht="36.75" customHeight="1">
      <c r="A76" s="107" t="s">
        <v>71</v>
      </c>
      <c r="B76" s="100">
        <v>4060</v>
      </c>
      <c r="C76" s="108">
        <v>0</v>
      </c>
      <c r="D76" s="108">
        <v>0</v>
      </c>
      <c r="E76" s="109" t="s">
        <v>26</v>
      </c>
      <c r="F76" s="108">
        <v>0</v>
      </c>
      <c r="G76" s="127" t="e">
        <f t="shared" si="35"/>
        <v>#VALUE!</v>
      </c>
      <c r="H76" s="108"/>
    </row>
    <row r="77" spans="1:8" ht="39.75" customHeight="1">
      <c r="A77" s="107" t="s">
        <v>58</v>
      </c>
      <c r="B77" s="100">
        <v>4070</v>
      </c>
      <c r="C77" s="108" t="s">
        <v>26</v>
      </c>
      <c r="D77" s="108" t="s">
        <v>26</v>
      </c>
      <c r="E77" s="109" t="s">
        <v>26</v>
      </c>
      <c r="F77" s="108" t="s">
        <v>26</v>
      </c>
      <c r="G77" s="108"/>
      <c r="H77" s="108"/>
    </row>
    <row r="78" spans="1:8" s="128" customFormat="1" ht="29.25" customHeight="1">
      <c r="A78" s="118" t="s">
        <v>109</v>
      </c>
      <c r="B78" s="118"/>
      <c r="C78" s="118"/>
      <c r="D78" s="118"/>
      <c r="E78" s="118"/>
      <c r="F78" s="118"/>
      <c r="G78" s="118"/>
      <c r="H78" s="118"/>
    </row>
    <row r="79" spans="1:8" ht="48.75" customHeight="1">
      <c r="A79" s="103" t="s">
        <v>47</v>
      </c>
      <c r="B79" s="104" t="s">
        <v>30</v>
      </c>
      <c r="C79" s="105">
        <f>SUM(C80:C82)</f>
        <v>0</v>
      </c>
      <c r="D79" s="105">
        <f t="shared" ref="D79:F79" si="37">SUM(D80:D82)</f>
        <v>0</v>
      </c>
      <c r="E79" s="105">
        <f t="shared" si="37"/>
        <v>0</v>
      </c>
      <c r="F79" s="105">
        <f t="shared" si="37"/>
        <v>0</v>
      </c>
      <c r="G79" s="105">
        <f>F79-E79</f>
        <v>0</v>
      </c>
      <c r="H79" s="105"/>
    </row>
    <row r="80" spans="1:8" ht="36.75" customHeight="1">
      <c r="A80" s="110" t="s">
        <v>78</v>
      </c>
      <c r="B80" s="100" t="s">
        <v>31</v>
      </c>
      <c r="C80" s="108"/>
      <c r="D80" s="108"/>
      <c r="E80" s="108"/>
      <c r="F80" s="108"/>
      <c r="G80" s="108">
        <f t="shared" ref="G80:G86" si="38">F80-E80</f>
        <v>0</v>
      </c>
      <c r="H80" s="108"/>
    </row>
    <row r="81" spans="1:8" ht="34.5" customHeight="1">
      <c r="A81" s="110" t="s">
        <v>79</v>
      </c>
      <c r="B81" s="100" t="s">
        <v>32</v>
      </c>
      <c r="C81" s="108"/>
      <c r="D81" s="108"/>
      <c r="E81" s="108"/>
      <c r="F81" s="108"/>
      <c r="G81" s="108">
        <f t="shared" si="38"/>
        <v>0</v>
      </c>
      <c r="H81" s="108"/>
    </row>
    <row r="82" spans="1:8" ht="35.25" customHeight="1">
      <c r="A82" s="110" t="s">
        <v>80</v>
      </c>
      <c r="B82" s="100" t="s">
        <v>33</v>
      </c>
      <c r="C82" s="108"/>
      <c r="D82" s="108"/>
      <c r="E82" s="108"/>
      <c r="F82" s="108"/>
      <c r="G82" s="108">
        <f t="shared" si="38"/>
        <v>0</v>
      </c>
      <c r="H82" s="108"/>
    </row>
    <row r="83" spans="1:8" ht="46.5" customHeight="1">
      <c r="A83" s="103" t="s">
        <v>48</v>
      </c>
      <c r="B83" s="104" t="s">
        <v>34</v>
      </c>
      <c r="C83" s="105">
        <f>SUM(C84:C86)</f>
        <v>0</v>
      </c>
      <c r="D83" s="105">
        <f t="shared" ref="D83:F83" si="39">SUM(D84:D86)</f>
        <v>0</v>
      </c>
      <c r="E83" s="105">
        <f t="shared" si="39"/>
        <v>0</v>
      </c>
      <c r="F83" s="105">
        <f t="shared" si="39"/>
        <v>0</v>
      </c>
      <c r="G83" s="105">
        <f t="shared" si="38"/>
        <v>0</v>
      </c>
      <c r="H83" s="105"/>
    </row>
    <row r="84" spans="1:8" ht="36.75" customHeight="1">
      <c r="A84" s="110" t="s">
        <v>78</v>
      </c>
      <c r="B84" s="100" t="s">
        <v>35</v>
      </c>
      <c r="C84" s="108"/>
      <c r="D84" s="108"/>
      <c r="E84" s="108"/>
      <c r="F84" s="108"/>
      <c r="G84" s="108">
        <f t="shared" si="38"/>
        <v>0</v>
      </c>
      <c r="H84" s="108"/>
    </row>
    <row r="85" spans="1:8" ht="36.75" customHeight="1">
      <c r="A85" s="110" t="s">
        <v>79</v>
      </c>
      <c r="B85" s="100" t="s">
        <v>36</v>
      </c>
      <c r="C85" s="108"/>
      <c r="D85" s="108"/>
      <c r="E85" s="108"/>
      <c r="F85" s="108"/>
      <c r="G85" s="108">
        <f t="shared" si="38"/>
        <v>0</v>
      </c>
      <c r="H85" s="108"/>
    </row>
    <row r="86" spans="1:8" ht="34.5" customHeight="1">
      <c r="A86" s="110" t="s">
        <v>80</v>
      </c>
      <c r="B86" s="100" t="s">
        <v>37</v>
      </c>
      <c r="C86" s="108"/>
      <c r="D86" s="108"/>
      <c r="E86" s="108"/>
      <c r="F86" s="108"/>
      <c r="G86" s="108">
        <f t="shared" si="38"/>
        <v>0</v>
      </c>
      <c r="H86" s="108"/>
    </row>
    <row r="87" spans="1:8" ht="34.5" customHeight="1">
      <c r="A87" s="118" t="s">
        <v>110</v>
      </c>
      <c r="B87" s="118"/>
      <c r="C87" s="118"/>
      <c r="D87" s="118"/>
      <c r="E87" s="118"/>
      <c r="F87" s="118"/>
      <c r="G87" s="118"/>
      <c r="H87" s="118"/>
    </row>
    <row r="88" spans="1:8" s="89" customFormat="1" ht="86.25" customHeight="1">
      <c r="A88" s="121" t="s">
        <v>136</v>
      </c>
      <c r="B88" s="129" t="s">
        <v>38</v>
      </c>
      <c r="C88" s="130">
        <f t="shared" ref="C88" si="40">SUM(C89:C91)</f>
        <v>192</v>
      </c>
      <c r="D88" s="130">
        <f t="shared" ref="D88" si="41">SUM(D89:D91)</f>
        <v>178</v>
      </c>
      <c r="E88" s="130">
        <v>180</v>
      </c>
      <c r="F88" s="130">
        <f t="shared" ref="F88" si="42">SUM(F89:F91)</f>
        <v>178</v>
      </c>
      <c r="G88" s="117">
        <f>F88-E88</f>
        <v>-2</v>
      </c>
      <c r="H88" s="117">
        <f>(F88/E88)*100</f>
        <v>98.888888888888886</v>
      </c>
    </row>
    <row r="89" spans="1:8" ht="27.75" customHeight="1">
      <c r="A89" s="110" t="s">
        <v>21</v>
      </c>
      <c r="B89" s="100" t="s">
        <v>39</v>
      </c>
      <c r="C89" s="131">
        <v>1</v>
      </c>
      <c r="D89" s="131">
        <v>1</v>
      </c>
      <c r="E89" s="132">
        <v>1</v>
      </c>
      <c r="F89" s="131">
        <v>1</v>
      </c>
      <c r="G89" s="116">
        <f t="shared" ref="G89:G103" si="43">F89-E89</f>
        <v>0</v>
      </c>
      <c r="H89" s="116">
        <f t="shared" ref="H89:H103" si="44">(F89/E89)*100</f>
        <v>100</v>
      </c>
    </row>
    <row r="90" spans="1:8" ht="27.75" customHeight="1">
      <c r="A90" s="110" t="s">
        <v>24</v>
      </c>
      <c r="B90" s="100" t="s">
        <v>40</v>
      </c>
      <c r="C90" s="131">
        <v>6</v>
      </c>
      <c r="D90" s="131">
        <v>6</v>
      </c>
      <c r="E90" s="132">
        <v>6</v>
      </c>
      <c r="F90" s="131">
        <v>6</v>
      </c>
      <c r="G90" s="116">
        <f t="shared" si="43"/>
        <v>0</v>
      </c>
      <c r="H90" s="116">
        <f t="shared" si="44"/>
        <v>100</v>
      </c>
    </row>
    <row r="91" spans="1:8" ht="27.75" customHeight="1">
      <c r="A91" s="110" t="s">
        <v>22</v>
      </c>
      <c r="B91" s="100" t="s">
        <v>41</v>
      </c>
      <c r="C91" s="131">
        <v>185</v>
      </c>
      <c r="D91" s="131">
        <v>171</v>
      </c>
      <c r="E91" s="132">
        <v>173</v>
      </c>
      <c r="F91" s="131">
        <v>171</v>
      </c>
      <c r="G91" s="116">
        <f t="shared" si="43"/>
        <v>-2</v>
      </c>
      <c r="H91" s="116">
        <f t="shared" si="44"/>
        <v>98.843930635838149</v>
      </c>
    </row>
    <row r="92" spans="1:8" ht="27.75" customHeight="1">
      <c r="A92" s="103" t="s">
        <v>81</v>
      </c>
      <c r="B92" s="104" t="s">
        <v>42</v>
      </c>
      <c r="C92" s="105">
        <f>C46</f>
        <v>9746.2000000000007</v>
      </c>
      <c r="D92" s="105">
        <f t="shared" ref="D92:E92" si="45">D46</f>
        <v>9607.4</v>
      </c>
      <c r="E92" s="105">
        <f t="shared" si="45"/>
        <v>9875.2000000000007</v>
      </c>
      <c r="F92" s="105">
        <f>F46</f>
        <v>9607.4</v>
      </c>
      <c r="G92" s="117">
        <f t="shared" si="43"/>
        <v>-267.80000000000109</v>
      </c>
      <c r="H92" s="117">
        <f t="shared" si="44"/>
        <v>97.288156189241732</v>
      </c>
    </row>
    <row r="93" spans="1:8" ht="27.75" customHeight="1">
      <c r="A93" s="110" t="s">
        <v>21</v>
      </c>
      <c r="B93" s="100">
        <v>8011</v>
      </c>
      <c r="C93" s="108">
        <v>195</v>
      </c>
      <c r="D93" s="108">
        <v>195</v>
      </c>
      <c r="E93" s="108">
        <v>177.2</v>
      </c>
      <c r="F93" s="108">
        <v>195</v>
      </c>
      <c r="G93" s="116">
        <f t="shared" si="43"/>
        <v>17.800000000000011</v>
      </c>
      <c r="H93" s="116">
        <f t="shared" si="44"/>
        <v>110.04514672686231</v>
      </c>
    </row>
    <row r="94" spans="1:8" ht="27.75" customHeight="1">
      <c r="A94" s="110" t="s">
        <v>24</v>
      </c>
      <c r="B94" s="100">
        <v>8012</v>
      </c>
      <c r="C94" s="108">
        <v>559.9</v>
      </c>
      <c r="D94" s="108">
        <v>560.9</v>
      </c>
      <c r="E94" s="108">
        <v>599</v>
      </c>
      <c r="F94" s="108">
        <v>560.9</v>
      </c>
      <c r="G94" s="116">
        <f t="shared" si="43"/>
        <v>-38.100000000000023</v>
      </c>
      <c r="H94" s="116">
        <f t="shared" si="44"/>
        <v>93.639398998330549</v>
      </c>
    </row>
    <row r="95" spans="1:8" ht="27.75" customHeight="1">
      <c r="A95" s="110" t="s">
        <v>22</v>
      </c>
      <c r="B95" s="100">
        <v>8013</v>
      </c>
      <c r="C95" s="108">
        <v>8991.2999999999993</v>
      </c>
      <c r="D95" s="108">
        <v>8851.5</v>
      </c>
      <c r="E95" s="108">
        <v>9099</v>
      </c>
      <c r="F95" s="108">
        <v>8851.5</v>
      </c>
      <c r="G95" s="116">
        <f t="shared" si="43"/>
        <v>-247.5</v>
      </c>
      <c r="H95" s="116">
        <f t="shared" si="44"/>
        <v>97.279920870425315</v>
      </c>
    </row>
    <row r="96" spans="1:8" ht="27.75" customHeight="1">
      <c r="A96" s="103" t="s">
        <v>2</v>
      </c>
      <c r="B96" s="104">
        <v>8020</v>
      </c>
      <c r="C96" s="105">
        <f t="shared" ref="C96" si="46">SUM(C97:C99)</f>
        <v>9746.1999999999989</v>
      </c>
      <c r="D96" s="105">
        <f t="shared" ref="D96:F96" si="47">SUM(D97:D99)</f>
        <v>9607.4</v>
      </c>
      <c r="E96" s="105">
        <v>9875.2000000000007</v>
      </c>
      <c r="F96" s="105">
        <f t="shared" si="47"/>
        <v>9607.4</v>
      </c>
      <c r="G96" s="117">
        <f t="shared" si="43"/>
        <v>-267.80000000000109</v>
      </c>
      <c r="H96" s="117">
        <f t="shared" si="44"/>
        <v>97.288156189241732</v>
      </c>
    </row>
    <row r="97" spans="1:8" ht="27.75" customHeight="1">
      <c r="A97" s="110" t="s">
        <v>21</v>
      </c>
      <c r="B97" s="100">
        <v>8021</v>
      </c>
      <c r="C97" s="108">
        <v>195</v>
      </c>
      <c r="D97" s="108">
        <v>195</v>
      </c>
      <c r="E97" s="108">
        <v>177.2</v>
      </c>
      <c r="F97" s="108">
        <v>195</v>
      </c>
      <c r="G97" s="116">
        <f t="shared" si="43"/>
        <v>17.800000000000011</v>
      </c>
      <c r="H97" s="116">
        <f t="shared" si="44"/>
        <v>110.04514672686231</v>
      </c>
    </row>
    <row r="98" spans="1:8" ht="27.75" customHeight="1">
      <c r="A98" s="110" t="s">
        <v>24</v>
      </c>
      <c r="B98" s="100">
        <v>8022</v>
      </c>
      <c r="C98" s="108">
        <v>559.9</v>
      </c>
      <c r="D98" s="108">
        <v>560.9</v>
      </c>
      <c r="E98" s="108">
        <v>599</v>
      </c>
      <c r="F98" s="108">
        <v>560.9</v>
      </c>
      <c r="G98" s="116">
        <f t="shared" si="43"/>
        <v>-38.100000000000023</v>
      </c>
      <c r="H98" s="116">
        <f t="shared" si="44"/>
        <v>93.639398998330549</v>
      </c>
    </row>
    <row r="99" spans="1:8" ht="27.75" customHeight="1">
      <c r="A99" s="110" t="s">
        <v>22</v>
      </c>
      <c r="B99" s="100">
        <v>8023</v>
      </c>
      <c r="C99" s="108">
        <v>8991.2999999999993</v>
      </c>
      <c r="D99" s="108">
        <v>8851.5</v>
      </c>
      <c r="E99" s="108">
        <v>9099</v>
      </c>
      <c r="F99" s="108">
        <v>8851.5</v>
      </c>
      <c r="G99" s="116">
        <f t="shared" si="43"/>
        <v>-247.5</v>
      </c>
      <c r="H99" s="116">
        <f t="shared" si="44"/>
        <v>97.279920870425315</v>
      </c>
    </row>
    <row r="100" spans="1:8" s="89" customFormat="1" ht="57" customHeight="1">
      <c r="A100" s="121" t="s">
        <v>57</v>
      </c>
      <c r="B100" s="129" t="s">
        <v>82</v>
      </c>
      <c r="C100" s="105">
        <f t="shared" ref="C100:D100" si="48">(C96/C88)/3*1000</f>
        <v>16920.486111111109</v>
      </c>
      <c r="D100" s="105">
        <f t="shared" si="48"/>
        <v>17991.385767790263</v>
      </c>
      <c r="E100" s="133">
        <v>18287.407407407412</v>
      </c>
      <c r="F100" s="105">
        <f t="shared" ref="F100" si="49">(F96/F88)/3*1000</f>
        <v>17991.385767790263</v>
      </c>
      <c r="G100" s="117">
        <f t="shared" si="43"/>
        <v>-296.02163961714905</v>
      </c>
      <c r="H100" s="117">
        <f t="shared" si="44"/>
        <v>98.381281539682632</v>
      </c>
    </row>
    <row r="101" spans="1:8" ht="27.75" customHeight="1">
      <c r="A101" s="110" t="s">
        <v>21</v>
      </c>
      <c r="B101" s="100">
        <v>8031</v>
      </c>
      <c r="C101" s="108">
        <f>(C97/C89)/3*1000</f>
        <v>65000</v>
      </c>
      <c r="D101" s="108">
        <f>(D97/D89)/3*1000</f>
        <v>65000</v>
      </c>
      <c r="E101" s="114">
        <v>59066.666666666701</v>
      </c>
      <c r="F101" s="108">
        <f>(F97/F89)/3*1000</f>
        <v>65000</v>
      </c>
      <c r="G101" s="116">
        <f t="shared" si="43"/>
        <v>5933.3333333332994</v>
      </c>
      <c r="H101" s="116">
        <f t="shared" si="44"/>
        <v>110.04514672686223</v>
      </c>
    </row>
    <row r="102" spans="1:8" ht="27.75" customHeight="1">
      <c r="A102" s="110" t="s">
        <v>24</v>
      </c>
      <c r="B102" s="100">
        <v>8032</v>
      </c>
      <c r="C102" s="108">
        <f t="shared" ref="C102" si="50">(C98/C90)/3*1000</f>
        <v>31105.555555555555</v>
      </c>
      <c r="D102" s="108">
        <f>(D98/D90)/3*1000</f>
        <v>31161.111111111113</v>
      </c>
      <c r="E102" s="114">
        <v>33277.777777777781</v>
      </c>
      <c r="F102" s="108">
        <f>(F98/F90)/3*1000</f>
        <v>31161.111111111113</v>
      </c>
      <c r="G102" s="116">
        <f t="shared" si="43"/>
        <v>-2116.6666666666679</v>
      </c>
      <c r="H102" s="116">
        <f t="shared" si="44"/>
        <v>93.639398998330549</v>
      </c>
    </row>
    <row r="103" spans="1:8" ht="27.75" customHeight="1">
      <c r="A103" s="110" t="s">
        <v>22</v>
      </c>
      <c r="B103" s="100">
        <v>8033</v>
      </c>
      <c r="C103" s="108">
        <f t="shared" ref="C103" si="51">(C99/C91)/3*1000</f>
        <v>16200.54054054054</v>
      </c>
      <c r="D103" s="108">
        <f t="shared" ref="D103:F103" si="52">(D99/D91)/3*1000</f>
        <v>17254.385964912282</v>
      </c>
      <c r="E103" s="114">
        <v>17531.791907514449</v>
      </c>
      <c r="F103" s="108">
        <f t="shared" si="52"/>
        <v>17254.385964912282</v>
      </c>
      <c r="G103" s="116">
        <f t="shared" si="43"/>
        <v>-277.40594260216676</v>
      </c>
      <c r="H103" s="116">
        <f t="shared" si="44"/>
        <v>98.417697722711011</v>
      </c>
    </row>
    <row r="104" spans="1:8" s="89" customFormat="1">
      <c r="A104" s="134"/>
      <c r="C104" s="135"/>
      <c r="D104" s="136"/>
      <c r="E104" s="137"/>
      <c r="F104" s="137"/>
      <c r="G104" s="137"/>
      <c r="H104" s="137"/>
    </row>
    <row r="105" spans="1:8" s="89" customFormat="1">
      <c r="A105" s="134"/>
      <c r="C105" s="135"/>
      <c r="D105" s="136"/>
      <c r="E105" s="137"/>
      <c r="F105" s="137"/>
      <c r="G105" s="137"/>
      <c r="H105" s="137"/>
    </row>
    <row r="106" spans="1:8" s="89" customFormat="1" ht="28.5" customHeight="1">
      <c r="A106" s="138" t="s">
        <v>238</v>
      </c>
      <c r="B106" s="139"/>
      <c r="C106" s="140"/>
      <c r="D106" s="141"/>
      <c r="E106" s="142"/>
      <c r="F106" s="143" t="s">
        <v>279</v>
      </c>
      <c r="G106" s="143"/>
      <c r="H106" s="144"/>
    </row>
    <row r="107" spans="1:8" s="89" customFormat="1">
      <c r="A107" s="145" t="s">
        <v>10</v>
      </c>
      <c r="B107" s="144"/>
      <c r="C107" s="146" t="s">
        <v>11</v>
      </c>
      <c r="D107" s="146"/>
      <c r="E107" s="88"/>
      <c r="F107" s="147" t="s">
        <v>239</v>
      </c>
      <c r="G107" s="147"/>
      <c r="H107" s="144"/>
    </row>
    <row r="108" spans="1:8" s="89" customFormat="1">
      <c r="A108" s="148"/>
      <c r="E108" s="86"/>
      <c r="F108" s="86"/>
      <c r="G108" s="86"/>
      <c r="H108" s="86"/>
    </row>
    <row r="109" spans="1:8" s="89" customFormat="1">
      <c r="A109" s="148"/>
      <c r="E109" s="86"/>
      <c r="F109" s="86"/>
      <c r="G109" s="86"/>
      <c r="H109" s="86"/>
    </row>
    <row r="110" spans="1:8" s="89" customFormat="1">
      <c r="A110" s="148"/>
      <c r="E110" s="86"/>
      <c r="F110" s="86"/>
      <c r="G110" s="86"/>
      <c r="H110" s="86"/>
    </row>
    <row r="111" spans="1:8" s="89" customFormat="1">
      <c r="A111" s="148"/>
      <c r="E111" s="86"/>
      <c r="F111" s="86"/>
      <c r="G111" s="86"/>
      <c r="H111" s="86"/>
    </row>
    <row r="112" spans="1:8" s="89" customFormat="1">
      <c r="A112" s="148"/>
      <c r="E112" s="86"/>
      <c r="F112" s="86"/>
      <c r="G112" s="86"/>
      <c r="H112" s="86"/>
    </row>
    <row r="113" spans="1:8" s="89" customFormat="1">
      <c r="A113" s="148"/>
      <c r="E113" s="86"/>
      <c r="F113" s="86"/>
      <c r="G113" s="86"/>
      <c r="H113" s="86"/>
    </row>
    <row r="114" spans="1:8" s="89" customFormat="1">
      <c r="A114" s="148"/>
      <c r="E114" s="86"/>
      <c r="F114" s="86"/>
      <c r="G114" s="86"/>
      <c r="H114" s="86"/>
    </row>
    <row r="115" spans="1:8" s="89" customFormat="1">
      <c r="A115" s="148"/>
      <c r="E115" s="86"/>
      <c r="F115" s="86"/>
      <c r="G115" s="86"/>
      <c r="H115" s="86"/>
    </row>
    <row r="116" spans="1:8" s="89" customFormat="1">
      <c r="A116" s="148"/>
      <c r="E116" s="86"/>
      <c r="F116" s="86"/>
      <c r="G116" s="86"/>
      <c r="H116" s="86"/>
    </row>
    <row r="117" spans="1:8" s="89" customFormat="1">
      <c r="A117" s="148"/>
      <c r="E117" s="86"/>
      <c r="F117" s="86"/>
      <c r="G117" s="86"/>
      <c r="H117" s="86"/>
    </row>
    <row r="118" spans="1:8" s="89" customFormat="1">
      <c r="A118" s="148"/>
      <c r="E118" s="86"/>
      <c r="F118" s="86"/>
      <c r="G118" s="86"/>
      <c r="H118" s="86"/>
    </row>
    <row r="119" spans="1:8" s="89" customFormat="1">
      <c r="A119" s="148"/>
      <c r="E119" s="86"/>
      <c r="F119" s="86"/>
      <c r="G119" s="86"/>
      <c r="H119" s="86"/>
    </row>
    <row r="120" spans="1:8" s="89" customFormat="1">
      <c r="A120" s="148"/>
      <c r="E120" s="86"/>
      <c r="F120" s="86"/>
      <c r="G120" s="86"/>
      <c r="H120" s="86"/>
    </row>
    <row r="121" spans="1:8" s="89" customFormat="1">
      <c r="A121" s="148"/>
      <c r="E121" s="86"/>
      <c r="F121" s="86"/>
      <c r="G121" s="86"/>
      <c r="H121" s="86"/>
    </row>
    <row r="122" spans="1:8" s="89" customFormat="1">
      <c r="A122" s="148"/>
      <c r="E122" s="86"/>
      <c r="F122" s="86"/>
      <c r="G122" s="86"/>
      <c r="H122" s="86"/>
    </row>
    <row r="123" spans="1:8" s="89" customFormat="1">
      <c r="A123" s="148"/>
      <c r="E123" s="86"/>
      <c r="F123" s="86"/>
      <c r="G123" s="86"/>
      <c r="H123" s="86"/>
    </row>
    <row r="124" spans="1:8" s="89" customFormat="1">
      <c r="A124" s="148"/>
      <c r="E124" s="86"/>
      <c r="F124" s="86"/>
      <c r="G124" s="86"/>
      <c r="H124" s="86"/>
    </row>
    <row r="125" spans="1:8" s="89" customFormat="1">
      <c r="A125" s="148"/>
      <c r="E125" s="86"/>
      <c r="F125" s="86"/>
      <c r="G125" s="86"/>
      <c r="H125" s="86"/>
    </row>
    <row r="126" spans="1:8" s="89" customFormat="1">
      <c r="A126" s="148"/>
      <c r="E126" s="86"/>
      <c r="F126" s="86"/>
      <c r="G126" s="86"/>
      <c r="H126" s="86"/>
    </row>
    <row r="127" spans="1:8" s="89" customFormat="1">
      <c r="A127" s="148"/>
      <c r="E127" s="86"/>
      <c r="F127" s="86"/>
      <c r="G127" s="86"/>
      <c r="H127" s="86"/>
    </row>
    <row r="128" spans="1:8" s="89" customFormat="1">
      <c r="A128" s="148"/>
      <c r="E128" s="86"/>
      <c r="F128" s="86"/>
      <c r="G128" s="86"/>
      <c r="H128" s="86"/>
    </row>
    <row r="129" spans="1:12" s="89" customFormat="1">
      <c r="A129" s="148"/>
      <c r="E129" s="86"/>
      <c r="F129" s="86"/>
      <c r="G129" s="86"/>
      <c r="H129" s="86"/>
    </row>
    <row r="130" spans="1:12" s="89" customFormat="1">
      <c r="A130" s="148"/>
      <c r="E130" s="86"/>
      <c r="F130" s="86"/>
      <c r="G130" s="86"/>
      <c r="H130" s="86"/>
    </row>
    <row r="131" spans="1:12" s="89" customFormat="1">
      <c r="A131" s="148"/>
      <c r="E131" s="86"/>
      <c r="F131" s="86"/>
      <c r="G131" s="86"/>
      <c r="H131" s="86"/>
    </row>
    <row r="132" spans="1:12" s="89" customFormat="1">
      <c r="A132" s="148"/>
      <c r="E132" s="86"/>
      <c r="F132" s="86"/>
      <c r="G132" s="86"/>
      <c r="H132" s="86"/>
    </row>
    <row r="133" spans="1:12" s="89" customFormat="1">
      <c r="A133" s="148"/>
      <c r="E133" s="86"/>
      <c r="F133" s="86"/>
      <c r="G133" s="86"/>
      <c r="H133" s="86"/>
    </row>
    <row r="134" spans="1:12" s="89" customFormat="1">
      <c r="A134" s="148"/>
      <c r="E134" s="86"/>
      <c r="F134" s="86"/>
      <c r="G134" s="86"/>
      <c r="H134" s="86"/>
    </row>
    <row r="135" spans="1:12" s="89" customFormat="1">
      <c r="A135" s="148"/>
      <c r="E135" s="86"/>
      <c r="F135" s="86"/>
      <c r="G135" s="86"/>
      <c r="H135" s="86"/>
    </row>
    <row r="136" spans="1:12" s="89" customFormat="1">
      <c r="A136" s="148"/>
      <c r="E136" s="86"/>
      <c r="F136" s="86"/>
      <c r="G136" s="86"/>
      <c r="H136" s="86"/>
    </row>
    <row r="137" spans="1:12" s="89" customFormat="1">
      <c r="A137" s="148"/>
      <c r="E137" s="86"/>
      <c r="F137" s="86"/>
      <c r="G137" s="86"/>
      <c r="H137" s="86"/>
    </row>
    <row r="138" spans="1:12" s="89" customFormat="1">
      <c r="A138" s="148"/>
      <c r="E138" s="86"/>
      <c r="F138" s="86"/>
      <c r="G138" s="86"/>
      <c r="H138" s="86"/>
    </row>
    <row r="139" spans="1:12" s="89" customFormat="1">
      <c r="A139" s="148"/>
      <c r="E139" s="86"/>
      <c r="F139" s="86"/>
      <c r="G139" s="86"/>
      <c r="H139" s="86"/>
    </row>
    <row r="140" spans="1:12" s="89" customFormat="1">
      <c r="A140" s="148"/>
      <c r="E140" s="86"/>
      <c r="F140" s="86"/>
      <c r="G140" s="86"/>
      <c r="H140" s="86"/>
    </row>
    <row r="141" spans="1:12" s="89" customFormat="1">
      <c r="A141" s="148"/>
      <c r="E141" s="86"/>
      <c r="F141" s="86"/>
      <c r="G141" s="86"/>
      <c r="H141" s="86"/>
    </row>
    <row r="142" spans="1:12" s="89" customFormat="1">
      <c r="A142" s="148"/>
      <c r="E142" s="86"/>
      <c r="F142" s="86"/>
      <c r="G142" s="86"/>
      <c r="H142" s="86"/>
    </row>
    <row r="143" spans="1:12" s="89" customFormat="1">
      <c r="A143" s="148"/>
      <c r="E143" s="86"/>
      <c r="F143" s="86"/>
      <c r="G143" s="86"/>
      <c r="H143" s="86"/>
    </row>
    <row r="144" spans="1:12" s="89" customFormat="1">
      <c r="A144" s="148"/>
      <c r="E144" s="86"/>
      <c r="F144" s="86"/>
      <c r="G144" s="86"/>
      <c r="H144" s="86"/>
      <c r="J144" s="89">
        <v>698.8</v>
      </c>
      <c r="K144" s="89">
        <v>395</v>
      </c>
      <c r="L144" s="89">
        <v>28</v>
      </c>
    </row>
    <row r="145" spans="1:8" s="89" customFormat="1">
      <c r="A145" s="148"/>
      <c r="E145" s="86"/>
      <c r="F145" s="86"/>
      <c r="G145" s="86"/>
      <c r="H145" s="86"/>
    </row>
    <row r="146" spans="1:8" s="89" customFormat="1">
      <c r="A146" s="148"/>
      <c r="E146" s="86"/>
      <c r="F146" s="86"/>
      <c r="G146" s="86"/>
      <c r="H146" s="86"/>
    </row>
    <row r="147" spans="1:8" s="89" customFormat="1">
      <c r="A147" s="148"/>
      <c r="E147" s="86"/>
      <c r="F147" s="86"/>
      <c r="G147" s="86"/>
      <c r="H147" s="86"/>
    </row>
    <row r="148" spans="1:8" s="89" customFormat="1">
      <c r="A148" s="148"/>
      <c r="E148" s="86"/>
      <c r="F148" s="86"/>
      <c r="G148" s="86"/>
      <c r="H148" s="86"/>
    </row>
    <row r="149" spans="1:8" s="89" customFormat="1">
      <c r="A149" s="148"/>
      <c r="E149" s="86"/>
      <c r="F149" s="86"/>
      <c r="G149" s="86"/>
      <c r="H149" s="86"/>
    </row>
    <row r="150" spans="1:8" s="89" customFormat="1">
      <c r="A150" s="148"/>
      <c r="E150" s="86"/>
      <c r="F150" s="86"/>
      <c r="G150" s="86"/>
      <c r="H150" s="86"/>
    </row>
    <row r="151" spans="1:8" s="89" customFormat="1">
      <c r="A151" s="148"/>
      <c r="E151" s="86"/>
      <c r="F151" s="86"/>
      <c r="G151" s="86"/>
      <c r="H151" s="86"/>
    </row>
    <row r="152" spans="1:8" s="89" customFormat="1">
      <c r="A152" s="148"/>
      <c r="E152" s="86"/>
      <c r="F152" s="86"/>
      <c r="G152" s="86"/>
      <c r="H152" s="86"/>
    </row>
    <row r="153" spans="1:8" s="89" customFormat="1">
      <c r="A153" s="148"/>
      <c r="E153" s="86"/>
      <c r="F153" s="86"/>
      <c r="G153" s="86"/>
      <c r="H153" s="86"/>
    </row>
    <row r="154" spans="1:8" s="89" customFormat="1">
      <c r="A154" s="148"/>
      <c r="E154" s="86"/>
      <c r="F154" s="86"/>
      <c r="G154" s="86"/>
      <c r="H154" s="86"/>
    </row>
    <row r="155" spans="1:8" s="89" customFormat="1">
      <c r="A155" s="148"/>
      <c r="E155" s="86"/>
      <c r="F155" s="86"/>
      <c r="G155" s="86"/>
      <c r="H155" s="86"/>
    </row>
    <row r="156" spans="1:8" s="89" customFormat="1">
      <c r="A156" s="148"/>
      <c r="E156" s="86"/>
      <c r="F156" s="86"/>
      <c r="G156" s="86"/>
      <c r="H156" s="86"/>
    </row>
    <row r="157" spans="1:8" s="89" customFormat="1">
      <c r="A157" s="148"/>
      <c r="E157" s="86"/>
      <c r="F157" s="86"/>
      <c r="G157" s="86"/>
      <c r="H157" s="86"/>
    </row>
    <row r="158" spans="1:8" s="89" customFormat="1">
      <c r="A158" s="148"/>
      <c r="E158" s="86"/>
      <c r="F158" s="86"/>
      <c r="G158" s="86"/>
      <c r="H158" s="86"/>
    </row>
    <row r="159" spans="1:8" s="89" customFormat="1">
      <c r="A159" s="148"/>
      <c r="E159" s="86"/>
      <c r="F159" s="86"/>
      <c r="G159" s="86"/>
      <c r="H159" s="86"/>
    </row>
    <row r="160" spans="1:8" s="89" customFormat="1">
      <c r="A160" s="148"/>
      <c r="E160" s="86"/>
      <c r="F160" s="86"/>
      <c r="G160" s="86"/>
      <c r="H160" s="86"/>
    </row>
    <row r="161" spans="1:8" s="89" customFormat="1">
      <c r="A161" s="148"/>
      <c r="E161" s="86"/>
      <c r="F161" s="86"/>
      <c r="G161" s="86"/>
      <c r="H161" s="86"/>
    </row>
    <row r="162" spans="1:8" s="89" customFormat="1">
      <c r="A162" s="148"/>
      <c r="E162" s="86"/>
      <c r="F162" s="86"/>
      <c r="G162" s="86"/>
      <c r="H162" s="86"/>
    </row>
    <row r="163" spans="1:8" s="89" customFormat="1">
      <c r="A163" s="148"/>
      <c r="E163" s="86"/>
      <c r="F163" s="86"/>
      <c r="G163" s="86"/>
      <c r="H163" s="86"/>
    </row>
    <row r="164" spans="1:8" s="89" customFormat="1">
      <c r="A164" s="148"/>
      <c r="E164" s="86"/>
      <c r="F164" s="86"/>
      <c r="G164" s="86"/>
      <c r="H164" s="86"/>
    </row>
    <row r="165" spans="1:8" s="89" customFormat="1">
      <c r="A165" s="148"/>
      <c r="E165" s="86"/>
      <c r="F165" s="86"/>
      <c r="G165" s="86"/>
      <c r="H165" s="86"/>
    </row>
    <row r="166" spans="1:8" s="89" customFormat="1">
      <c r="A166" s="148"/>
      <c r="E166" s="86"/>
      <c r="F166" s="86"/>
      <c r="G166" s="86"/>
      <c r="H166" s="86"/>
    </row>
    <row r="167" spans="1:8" s="89" customFormat="1">
      <c r="A167" s="148"/>
      <c r="E167" s="86"/>
      <c r="F167" s="86"/>
      <c r="G167" s="86"/>
      <c r="H167" s="86"/>
    </row>
    <row r="168" spans="1:8" s="89" customFormat="1">
      <c r="A168" s="148"/>
      <c r="E168" s="86"/>
      <c r="F168" s="86"/>
      <c r="G168" s="86"/>
      <c r="H168" s="86"/>
    </row>
    <row r="169" spans="1:8" s="89" customFormat="1">
      <c r="A169" s="148"/>
      <c r="E169" s="86"/>
      <c r="F169" s="86"/>
      <c r="G169" s="86"/>
      <c r="H169" s="86"/>
    </row>
    <row r="170" spans="1:8" s="89" customFormat="1">
      <c r="A170" s="148"/>
      <c r="E170" s="86"/>
      <c r="F170" s="86"/>
      <c r="G170" s="86"/>
      <c r="H170" s="86"/>
    </row>
    <row r="171" spans="1:8" s="89" customFormat="1">
      <c r="A171" s="148"/>
      <c r="E171" s="86"/>
      <c r="F171" s="86"/>
      <c r="G171" s="86"/>
      <c r="H171" s="86"/>
    </row>
    <row r="172" spans="1:8" s="89" customFormat="1">
      <c r="A172" s="148"/>
      <c r="E172" s="86"/>
      <c r="F172" s="86"/>
      <c r="G172" s="86"/>
      <c r="H172" s="86"/>
    </row>
    <row r="173" spans="1:8" s="89" customFormat="1">
      <c r="A173" s="148"/>
      <c r="E173" s="86"/>
      <c r="F173" s="86"/>
      <c r="G173" s="86"/>
      <c r="H173" s="86"/>
    </row>
    <row r="174" spans="1:8" s="89" customFormat="1">
      <c r="A174" s="148"/>
      <c r="E174" s="86"/>
      <c r="F174" s="86"/>
      <c r="G174" s="86"/>
      <c r="H174" s="86"/>
    </row>
    <row r="175" spans="1:8" s="89" customFormat="1">
      <c r="A175" s="148"/>
      <c r="E175" s="86"/>
      <c r="F175" s="86"/>
      <c r="G175" s="86"/>
      <c r="H175" s="86"/>
    </row>
    <row r="176" spans="1:8" s="89" customFormat="1">
      <c r="A176" s="148"/>
      <c r="E176" s="86"/>
      <c r="F176" s="86"/>
      <c r="G176" s="86"/>
      <c r="H176" s="86"/>
    </row>
    <row r="177" spans="1:8" s="89" customFormat="1">
      <c r="A177" s="148"/>
      <c r="E177" s="86"/>
      <c r="F177" s="86"/>
      <c r="G177" s="86"/>
      <c r="H177" s="86"/>
    </row>
    <row r="178" spans="1:8" s="89" customFormat="1">
      <c r="A178" s="148"/>
      <c r="E178" s="86"/>
      <c r="F178" s="86"/>
      <c r="G178" s="86"/>
      <c r="H178" s="86"/>
    </row>
    <row r="179" spans="1:8" s="89" customFormat="1">
      <c r="A179" s="148"/>
      <c r="E179" s="86"/>
      <c r="F179" s="86"/>
      <c r="G179" s="86"/>
      <c r="H179" s="86"/>
    </row>
    <row r="180" spans="1:8" s="89" customFormat="1">
      <c r="A180" s="148"/>
      <c r="E180" s="86"/>
      <c r="F180" s="86"/>
      <c r="G180" s="86"/>
      <c r="H180" s="86"/>
    </row>
    <row r="181" spans="1:8" s="89" customFormat="1">
      <c r="A181" s="148"/>
      <c r="E181" s="86"/>
      <c r="F181" s="86"/>
      <c r="G181" s="86"/>
      <c r="H181" s="86"/>
    </row>
    <row r="182" spans="1:8" s="89" customFormat="1">
      <c r="A182" s="148"/>
      <c r="E182" s="86"/>
      <c r="F182" s="86"/>
      <c r="G182" s="86"/>
      <c r="H182" s="86"/>
    </row>
    <row r="183" spans="1:8" s="89" customFormat="1">
      <c r="A183" s="148"/>
      <c r="E183" s="86"/>
      <c r="F183" s="86"/>
      <c r="G183" s="86"/>
      <c r="H183" s="86"/>
    </row>
    <row r="184" spans="1:8" s="89" customFormat="1">
      <c r="A184" s="148"/>
      <c r="E184" s="86"/>
      <c r="F184" s="86"/>
      <c r="G184" s="86"/>
      <c r="H184" s="86"/>
    </row>
    <row r="185" spans="1:8" s="89" customFormat="1">
      <c r="A185" s="148"/>
      <c r="E185" s="86"/>
      <c r="F185" s="86"/>
      <c r="G185" s="86"/>
      <c r="H185" s="86"/>
    </row>
    <row r="186" spans="1:8" s="89" customFormat="1">
      <c r="A186" s="148"/>
      <c r="E186" s="86"/>
      <c r="F186" s="86"/>
      <c r="G186" s="86"/>
      <c r="H186" s="86"/>
    </row>
    <row r="187" spans="1:8" s="89" customFormat="1">
      <c r="A187" s="148"/>
      <c r="E187" s="86"/>
      <c r="F187" s="86"/>
      <c r="G187" s="86"/>
      <c r="H187" s="86"/>
    </row>
    <row r="188" spans="1:8" s="89" customFormat="1">
      <c r="A188" s="148"/>
      <c r="E188" s="86"/>
      <c r="F188" s="86"/>
      <c r="G188" s="86"/>
      <c r="H188" s="86"/>
    </row>
    <row r="189" spans="1:8" s="89" customFormat="1">
      <c r="A189" s="148"/>
      <c r="E189" s="86"/>
      <c r="F189" s="86"/>
      <c r="G189" s="86"/>
      <c r="H189" s="86"/>
    </row>
    <row r="190" spans="1:8" s="89" customFormat="1">
      <c r="A190" s="148"/>
      <c r="E190" s="86"/>
      <c r="F190" s="86"/>
      <c r="G190" s="86"/>
      <c r="H190" s="86"/>
    </row>
    <row r="191" spans="1:8" s="89" customFormat="1">
      <c r="A191" s="148"/>
      <c r="E191" s="86"/>
      <c r="F191" s="86"/>
      <c r="G191" s="86"/>
      <c r="H191" s="86"/>
    </row>
    <row r="192" spans="1:8" s="89" customFormat="1">
      <c r="A192" s="148"/>
      <c r="E192" s="86"/>
      <c r="F192" s="86"/>
      <c r="G192" s="86"/>
      <c r="H192" s="86"/>
    </row>
    <row r="193" spans="1:8" s="89" customFormat="1">
      <c r="A193" s="148"/>
      <c r="E193" s="86"/>
      <c r="F193" s="86"/>
      <c r="G193" s="86"/>
      <c r="H193" s="86"/>
    </row>
    <row r="194" spans="1:8" s="89" customFormat="1">
      <c r="A194" s="148"/>
      <c r="E194" s="86"/>
      <c r="F194" s="86"/>
      <c r="G194" s="86"/>
      <c r="H194" s="86"/>
    </row>
    <row r="195" spans="1:8" s="89" customFormat="1">
      <c r="A195" s="148"/>
      <c r="E195" s="86"/>
      <c r="F195" s="86"/>
      <c r="G195" s="86"/>
      <c r="H195" s="86"/>
    </row>
    <row r="196" spans="1:8" s="89" customFormat="1">
      <c r="A196" s="148"/>
      <c r="E196" s="86"/>
      <c r="F196" s="86"/>
      <c r="G196" s="86"/>
      <c r="H196" s="86"/>
    </row>
    <row r="197" spans="1:8" s="89" customFormat="1">
      <c r="A197" s="148"/>
      <c r="E197" s="86"/>
      <c r="F197" s="86"/>
      <c r="G197" s="86"/>
      <c r="H197" s="86"/>
    </row>
    <row r="198" spans="1:8" s="89" customFormat="1">
      <c r="A198" s="148"/>
      <c r="E198" s="86"/>
      <c r="F198" s="86"/>
      <c r="G198" s="86"/>
      <c r="H198" s="86"/>
    </row>
    <row r="199" spans="1:8" s="89" customFormat="1">
      <c r="A199" s="148"/>
      <c r="E199" s="86"/>
      <c r="F199" s="86"/>
      <c r="G199" s="86"/>
      <c r="H199" s="86"/>
    </row>
    <row r="200" spans="1:8" s="89" customFormat="1">
      <c r="A200" s="148"/>
      <c r="E200" s="86"/>
      <c r="F200" s="86"/>
      <c r="G200" s="86"/>
      <c r="H200" s="86"/>
    </row>
    <row r="201" spans="1:8" s="89" customFormat="1">
      <c r="A201" s="148"/>
      <c r="E201" s="86"/>
      <c r="F201" s="86"/>
      <c r="G201" s="86"/>
      <c r="H201" s="86"/>
    </row>
    <row r="202" spans="1:8" s="89" customFormat="1">
      <c r="A202" s="148"/>
      <c r="E202" s="86"/>
      <c r="F202" s="86"/>
      <c r="G202" s="86"/>
      <c r="H202" s="86"/>
    </row>
    <row r="203" spans="1:8" s="89" customFormat="1">
      <c r="A203" s="148"/>
      <c r="E203" s="86"/>
      <c r="F203" s="86"/>
      <c r="G203" s="86"/>
      <c r="H203" s="86"/>
    </row>
    <row r="204" spans="1:8" s="89" customFormat="1">
      <c r="A204" s="148"/>
      <c r="E204" s="86"/>
      <c r="F204" s="86"/>
      <c r="G204" s="86"/>
      <c r="H204" s="86"/>
    </row>
    <row r="205" spans="1:8" s="89" customFormat="1">
      <c r="A205" s="148"/>
      <c r="E205" s="86"/>
      <c r="F205" s="86"/>
      <c r="G205" s="86"/>
      <c r="H205" s="86"/>
    </row>
    <row r="206" spans="1:8" s="89" customFormat="1">
      <c r="A206" s="148"/>
      <c r="E206" s="86"/>
      <c r="F206" s="86"/>
      <c r="G206" s="86"/>
      <c r="H206" s="86"/>
    </row>
    <row r="207" spans="1:8" s="89" customFormat="1">
      <c r="A207" s="148"/>
      <c r="E207" s="86"/>
      <c r="F207" s="86"/>
      <c r="G207" s="86"/>
      <c r="H207" s="86"/>
    </row>
    <row r="208" spans="1:8" s="89" customFormat="1">
      <c r="A208" s="148"/>
      <c r="E208" s="86"/>
      <c r="F208" s="86"/>
      <c r="G208" s="86"/>
      <c r="H208" s="86"/>
    </row>
    <row r="209" spans="1:8" s="89" customFormat="1">
      <c r="A209" s="148"/>
      <c r="E209" s="86"/>
      <c r="F209" s="86"/>
      <c r="G209" s="86"/>
      <c r="H209" s="86"/>
    </row>
    <row r="210" spans="1:8" s="89" customFormat="1">
      <c r="A210" s="148"/>
      <c r="E210" s="86"/>
      <c r="F210" s="86"/>
      <c r="G210" s="86"/>
      <c r="H210" s="86"/>
    </row>
    <row r="211" spans="1:8" s="89" customFormat="1">
      <c r="A211" s="148"/>
      <c r="E211" s="86"/>
      <c r="F211" s="86"/>
      <c r="G211" s="86"/>
      <c r="H211" s="86"/>
    </row>
    <row r="212" spans="1:8" s="89" customFormat="1">
      <c r="A212" s="148"/>
      <c r="E212" s="86"/>
      <c r="F212" s="86"/>
      <c r="G212" s="86"/>
      <c r="H212" s="86"/>
    </row>
    <row r="213" spans="1:8" s="89" customFormat="1">
      <c r="A213" s="148"/>
      <c r="E213" s="86"/>
      <c r="F213" s="86"/>
      <c r="G213" s="86"/>
      <c r="H213" s="86"/>
    </row>
    <row r="214" spans="1:8" s="89" customFormat="1">
      <c r="A214" s="148"/>
      <c r="E214" s="86"/>
      <c r="F214" s="86"/>
      <c r="G214" s="86"/>
      <c r="H214" s="86"/>
    </row>
    <row r="215" spans="1:8" s="89" customFormat="1">
      <c r="A215" s="148"/>
      <c r="E215" s="86"/>
      <c r="F215" s="86"/>
      <c r="G215" s="86"/>
      <c r="H215" s="86"/>
    </row>
    <row r="216" spans="1:8" s="89" customFormat="1">
      <c r="A216" s="148"/>
      <c r="E216" s="86"/>
      <c r="F216" s="86"/>
      <c r="G216" s="86"/>
      <c r="H216" s="86"/>
    </row>
    <row r="217" spans="1:8" s="89" customFormat="1">
      <c r="A217" s="148"/>
      <c r="E217" s="86"/>
      <c r="F217" s="86"/>
      <c r="G217" s="86"/>
      <c r="H217" s="86"/>
    </row>
    <row r="218" spans="1:8" s="89" customFormat="1">
      <c r="A218" s="148"/>
      <c r="E218" s="86"/>
      <c r="F218" s="86"/>
      <c r="G218" s="86"/>
      <c r="H218" s="86"/>
    </row>
    <row r="219" spans="1:8" s="89" customFormat="1">
      <c r="A219" s="148"/>
      <c r="E219" s="86"/>
      <c r="F219" s="86"/>
      <c r="G219" s="86"/>
      <c r="H219" s="86"/>
    </row>
    <row r="220" spans="1:8" s="89" customFormat="1">
      <c r="A220" s="148"/>
      <c r="E220" s="86"/>
      <c r="F220" s="86"/>
      <c r="G220" s="86"/>
      <c r="H220" s="86"/>
    </row>
    <row r="221" spans="1:8" s="89" customFormat="1">
      <c r="A221" s="148"/>
      <c r="E221" s="86"/>
      <c r="F221" s="86"/>
      <c r="G221" s="86"/>
      <c r="H221" s="86"/>
    </row>
    <row r="222" spans="1:8" s="89" customFormat="1">
      <c r="A222" s="148"/>
      <c r="E222" s="86"/>
      <c r="F222" s="86"/>
      <c r="G222" s="86"/>
      <c r="H222" s="86"/>
    </row>
    <row r="223" spans="1:8" s="89" customFormat="1">
      <c r="A223" s="148"/>
      <c r="E223" s="86"/>
      <c r="F223" s="86"/>
      <c r="G223" s="86"/>
      <c r="H223" s="86"/>
    </row>
    <row r="224" spans="1:8" s="89" customFormat="1">
      <c r="A224" s="148"/>
      <c r="E224" s="86"/>
      <c r="F224" s="86"/>
      <c r="G224" s="86"/>
      <c r="H224" s="86"/>
    </row>
    <row r="225" spans="1:8" s="89" customFormat="1">
      <c r="A225" s="148"/>
      <c r="E225" s="86"/>
      <c r="F225" s="86"/>
      <c r="G225" s="86"/>
      <c r="H225" s="86"/>
    </row>
    <row r="226" spans="1:8" s="89" customFormat="1">
      <c r="A226" s="148"/>
      <c r="E226" s="86"/>
      <c r="F226" s="86"/>
      <c r="G226" s="86"/>
      <c r="H226" s="86"/>
    </row>
    <row r="227" spans="1:8" s="89" customFormat="1">
      <c r="A227" s="148"/>
      <c r="E227" s="86"/>
      <c r="F227" s="86"/>
      <c r="G227" s="86"/>
      <c r="H227" s="86"/>
    </row>
    <row r="228" spans="1:8" s="89" customFormat="1">
      <c r="A228" s="148"/>
      <c r="E228" s="86"/>
      <c r="F228" s="86"/>
      <c r="G228" s="86"/>
      <c r="H228" s="86"/>
    </row>
    <row r="229" spans="1:8" s="89" customFormat="1">
      <c r="A229" s="148"/>
      <c r="E229" s="86"/>
      <c r="F229" s="86"/>
      <c r="G229" s="86"/>
      <c r="H229" s="86"/>
    </row>
    <row r="230" spans="1:8" s="89" customFormat="1">
      <c r="A230" s="148"/>
      <c r="E230" s="86"/>
      <c r="F230" s="86"/>
      <c r="G230" s="86"/>
      <c r="H230" s="86"/>
    </row>
    <row r="231" spans="1:8" s="89" customFormat="1">
      <c r="A231" s="148"/>
      <c r="E231" s="86"/>
      <c r="F231" s="86"/>
      <c r="G231" s="86"/>
      <c r="H231" s="86"/>
    </row>
    <row r="232" spans="1:8" s="89" customFormat="1">
      <c r="A232" s="148"/>
      <c r="E232" s="86"/>
      <c r="F232" s="86"/>
      <c r="G232" s="86"/>
      <c r="H232" s="86"/>
    </row>
    <row r="233" spans="1:8" s="89" customFormat="1">
      <c r="A233" s="148"/>
      <c r="E233" s="86"/>
      <c r="F233" s="86"/>
      <c r="G233" s="86"/>
      <c r="H233" s="86"/>
    </row>
    <row r="234" spans="1:8" s="89" customFormat="1">
      <c r="A234" s="148"/>
      <c r="E234" s="86"/>
      <c r="F234" s="86"/>
      <c r="G234" s="86"/>
      <c r="H234" s="86"/>
    </row>
    <row r="235" spans="1:8" s="89" customFormat="1">
      <c r="A235" s="148"/>
      <c r="E235" s="86"/>
      <c r="F235" s="86"/>
      <c r="G235" s="86"/>
      <c r="H235" s="86"/>
    </row>
    <row r="236" spans="1:8" s="89" customFormat="1">
      <c r="A236" s="148"/>
      <c r="E236" s="86"/>
      <c r="F236" s="86"/>
      <c r="G236" s="86"/>
      <c r="H236" s="86"/>
    </row>
    <row r="237" spans="1:8" s="89" customFormat="1">
      <c r="A237" s="148"/>
      <c r="E237" s="86"/>
      <c r="F237" s="86"/>
      <c r="G237" s="86"/>
      <c r="H237" s="86"/>
    </row>
    <row r="238" spans="1:8" s="89" customFormat="1">
      <c r="A238" s="148"/>
      <c r="E238" s="86"/>
      <c r="F238" s="86"/>
      <c r="G238" s="86"/>
      <c r="H238" s="86"/>
    </row>
    <row r="239" spans="1:8" s="89" customFormat="1">
      <c r="A239" s="148"/>
      <c r="E239" s="86"/>
      <c r="F239" s="86"/>
      <c r="G239" s="86"/>
      <c r="H239" s="86"/>
    </row>
    <row r="240" spans="1:8" s="89" customFormat="1">
      <c r="A240" s="148"/>
      <c r="E240" s="86"/>
      <c r="F240" s="86"/>
      <c r="G240" s="86"/>
      <c r="H240" s="86"/>
    </row>
    <row r="241" spans="1:8" s="89" customFormat="1">
      <c r="A241" s="148"/>
      <c r="E241" s="86"/>
      <c r="F241" s="86"/>
      <c r="G241" s="86"/>
      <c r="H241" s="86"/>
    </row>
    <row r="242" spans="1:8" s="89" customFormat="1">
      <c r="A242" s="148"/>
      <c r="E242" s="86"/>
      <c r="F242" s="86"/>
      <c r="G242" s="86"/>
      <c r="H242" s="86"/>
    </row>
    <row r="243" spans="1:8" s="89" customFormat="1">
      <c r="A243" s="148"/>
      <c r="E243" s="86"/>
      <c r="F243" s="86"/>
      <c r="G243" s="86"/>
      <c r="H243" s="86"/>
    </row>
    <row r="244" spans="1:8" s="89" customFormat="1">
      <c r="A244" s="148"/>
      <c r="E244" s="86"/>
      <c r="F244" s="86"/>
      <c r="G244" s="86"/>
      <c r="H244" s="86"/>
    </row>
    <row r="245" spans="1:8" s="89" customFormat="1">
      <c r="A245" s="148"/>
      <c r="E245" s="86"/>
      <c r="F245" s="86"/>
      <c r="G245" s="86"/>
      <c r="H245" s="86"/>
    </row>
    <row r="246" spans="1:8" s="89" customFormat="1">
      <c r="A246" s="148"/>
      <c r="E246" s="86"/>
      <c r="F246" s="86"/>
      <c r="G246" s="86"/>
      <c r="H246" s="86"/>
    </row>
    <row r="247" spans="1:8" s="89" customFormat="1">
      <c r="A247" s="148"/>
      <c r="E247" s="86"/>
      <c r="F247" s="86"/>
      <c r="G247" s="86"/>
      <c r="H247" s="86"/>
    </row>
    <row r="248" spans="1:8" s="89" customFormat="1">
      <c r="A248" s="148"/>
      <c r="E248" s="86"/>
      <c r="F248" s="86"/>
      <c r="G248" s="86"/>
      <c r="H248" s="86"/>
    </row>
    <row r="249" spans="1:8" s="89" customFormat="1">
      <c r="A249" s="148"/>
      <c r="E249" s="86"/>
      <c r="F249" s="86"/>
      <c r="G249" s="86"/>
      <c r="H249" s="86"/>
    </row>
    <row r="250" spans="1:8" s="89" customFormat="1">
      <c r="A250" s="148"/>
      <c r="E250" s="86"/>
      <c r="F250" s="86"/>
      <c r="G250" s="86"/>
      <c r="H250" s="86"/>
    </row>
    <row r="251" spans="1:8" s="89" customFormat="1">
      <c r="A251" s="148"/>
      <c r="E251" s="86"/>
      <c r="F251" s="86"/>
      <c r="G251" s="86"/>
      <c r="H251" s="86"/>
    </row>
    <row r="252" spans="1:8" s="89" customFormat="1">
      <c r="A252" s="148"/>
      <c r="E252" s="86"/>
      <c r="F252" s="86"/>
      <c r="G252" s="86"/>
      <c r="H252" s="86"/>
    </row>
    <row r="253" spans="1:8" s="89" customFormat="1">
      <c r="A253" s="148"/>
      <c r="E253" s="86"/>
      <c r="F253" s="86"/>
      <c r="G253" s="86"/>
      <c r="H253" s="86"/>
    </row>
    <row r="254" spans="1:8" s="89" customFormat="1">
      <c r="A254" s="148"/>
      <c r="E254" s="86"/>
      <c r="F254" s="86"/>
      <c r="G254" s="86"/>
      <c r="H254" s="86"/>
    </row>
    <row r="255" spans="1:8" s="89" customFormat="1">
      <c r="A255" s="148"/>
      <c r="E255" s="86"/>
      <c r="F255" s="86"/>
      <c r="G255" s="86"/>
      <c r="H255" s="86"/>
    </row>
    <row r="256" spans="1:8" s="89" customFormat="1">
      <c r="A256" s="148"/>
      <c r="E256" s="86"/>
      <c r="F256" s="86"/>
      <c r="G256" s="86"/>
      <c r="H256" s="86"/>
    </row>
    <row r="257" spans="1:8" s="89" customFormat="1">
      <c r="A257" s="148"/>
      <c r="E257" s="86"/>
      <c r="F257" s="86"/>
      <c r="G257" s="86"/>
      <c r="H257" s="86"/>
    </row>
    <row r="258" spans="1:8" s="89" customFormat="1">
      <c r="A258" s="148"/>
      <c r="E258" s="86"/>
      <c r="F258" s="86"/>
      <c r="G258" s="86"/>
      <c r="H258" s="86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59055118110236227" bottom="0.39370078740157483" header="0.39370078740157483" footer="0.19685039370078741"/>
  <pageSetup paperSize="9" scale="72" fitToHeight="10" orientation="landscape" verticalDpi="300" r:id="rId1"/>
  <headerFooter alignWithMargins="0"/>
  <rowBreaks count="1" manualBreakCount="1">
    <brk id="76" min="7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2:I197"/>
  <sheetViews>
    <sheetView view="pageBreakPreview" topLeftCell="A42" zoomScale="80" zoomScaleNormal="100" zoomScaleSheetLayoutView="80" workbookViewId="0">
      <selection activeCell="A42" sqref="A1:XFD1048576"/>
    </sheetView>
  </sheetViews>
  <sheetFormatPr defaultRowHeight="18.75"/>
  <cols>
    <col min="1" max="1" width="6.85546875" style="149" customWidth="1"/>
    <col min="2" max="2" width="54.85546875" style="149" customWidth="1"/>
    <col min="3" max="3" width="12" style="216" customWidth="1"/>
    <col min="4" max="4" width="16.140625" style="216" customWidth="1"/>
    <col min="5" max="5" width="16.7109375" style="216" customWidth="1"/>
    <col min="6" max="6" width="16.140625" style="216" customWidth="1"/>
    <col min="7" max="7" width="16.140625" style="149" customWidth="1"/>
    <col min="8" max="8" width="17.5703125" style="149" customWidth="1"/>
    <col min="9" max="9" width="9.140625" style="149"/>
    <col min="10" max="10" width="13.140625" style="149" customWidth="1"/>
    <col min="11" max="16384" width="9.140625" style="149"/>
  </cols>
  <sheetData>
    <row r="2" spans="1:8" ht="20.25">
      <c r="B2" s="150" t="s">
        <v>111</v>
      </c>
      <c r="C2" s="150"/>
      <c r="D2" s="150"/>
      <c r="E2" s="150"/>
      <c r="F2" s="150"/>
    </row>
    <row r="3" spans="1:8">
      <c r="B3" s="151"/>
      <c r="C3" s="152"/>
      <c r="D3" s="151"/>
      <c r="E3" s="151"/>
      <c r="F3" s="151"/>
      <c r="H3" s="149" t="s">
        <v>72</v>
      </c>
    </row>
    <row r="4" spans="1:8" ht="63" customHeight="1">
      <c r="A4" s="153" t="s">
        <v>85</v>
      </c>
      <c r="B4" s="153" t="s">
        <v>23</v>
      </c>
      <c r="C4" s="154" t="s">
        <v>5</v>
      </c>
      <c r="D4" s="155" t="s">
        <v>309</v>
      </c>
      <c r="E4" s="155" t="s">
        <v>325</v>
      </c>
      <c r="F4" s="155" t="s">
        <v>326</v>
      </c>
      <c r="G4" s="156" t="s">
        <v>119</v>
      </c>
      <c r="H4" s="156" t="s">
        <v>121</v>
      </c>
    </row>
    <row r="5" spans="1:8" ht="22.5" customHeight="1">
      <c r="A5" s="157">
        <v>1</v>
      </c>
      <c r="B5" s="157">
        <v>2</v>
      </c>
      <c r="C5" s="156">
        <v>3</v>
      </c>
      <c r="D5" s="156">
        <v>4</v>
      </c>
      <c r="E5" s="156">
        <v>5</v>
      </c>
      <c r="F5" s="156">
        <v>6</v>
      </c>
      <c r="G5" s="157">
        <v>7</v>
      </c>
      <c r="H5" s="157">
        <v>8</v>
      </c>
    </row>
    <row r="6" spans="1:8" ht="30.75" customHeight="1">
      <c r="A6" s="158" t="s">
        <v>84</v>
      </c>
      <c r="B6" s="159"/>
      <c r="C6" s="160"/>
      <c r="D6" s="161">
        <f>D7+D11+D23+D21</f>
        <v>19044.7</v>
      </c>
      <c r="E6" s="161">
        <f>E7+E11+E23+E21</f>
        <v>17611.3</v>
      </c>
      <c r="F6" s="161">
        <f>F7+F11+F23+F21</f>
        <v>16306.4</v>
      </c>
      <c r="G6" s="162">
        <f t="shared" ref="G6:G8" si="0">F6-E6</f>
        <v>-1304.8999999999996</v>
      </c>
      <c r="H6" s="163">
        <f t="shared" ref="H6:H8" si="1">(F6/E6)*100</f>
        <v>92.590552656533021</v>
      </c>
    </row>
    <row r="7" spans="1:8" ht="53.25" customHeight="1">
      <c r="A7" s="164" t="s">
        <v>83</v>
      </c>
      <c r="B7" s="165"/>
      <c r="C7" s="166">
        <v>1000</v>
      </c>
      <c r="D7" s="167">
        <f>D8+D9+D10</f>
        <v>14220</v>
      </c>
      <c r="E7" s="167">
        <f>E8+E9</f>
        <v>13025.1</v>
      </c>
      <c r="F7" s="167">
        <f>F8+F9+F10</f>
        <v>12403.5</v>
      </c>
      <c r="G7" s="162">
        <f t="shared" si="0"/>
        <v>-621.60000000000036</v>
      </c>
      <c r="H7" s="163">
        <f t="shared" si="1"/>
        <v>95.227675795195438</v>
      </c>
    </row>
    <row r="8" spans="1:8" ht="42" customHeight="1">
      <c r="A8" s="168">
        <v>1</v>
      </c>
      <c r="B8" s="169" t="s">
        <v>138</v>
      </c>
      <c r="C8" s="160"/>
      <c r="D8" s="170">
        <v>13967.9</v>
      </c>
      <c r="E8" s="170">
        <v>12773.6</v>
      </c>
      <c r="F8" s="170">
        <v>12208.7</v>
      </c>
      <c r="G8" s="171">
        <f t="shared" si="0"/>
        <v>-564.89999999999964</v>
      </c>
      <c r="H8" s="172">
        <f t="shared" si="1"/>
        <v>95.577597544936438</v>
      </c>
    </row>
    <row r="9" spans="1:8" ht="27.75" customHeight="1">
      <c r="A9" s="173">
        <v>2</v>
      </c>
      <c r="B9" s="169" t="s">
        <v>256</v>
      </c>
      <c r="C9" s="160"/>
      <c r="D9" s="170">
        <v>252.1</v>
      </c>
      <c r="E9" s="170">
        <v>251.5</v>
      </c>
      <c r="F9" s="170">
        <v>194.8</v>
      </c>
      <c r="G9" s="171">
        <f t="shared" ref="G9:G25" si="2">F9-E9</f>
        <v>-56.699999999999989</v>
      </c>
      <c r="H9" s="174">
        <f t="shared" ref="H9:H25" si="3">(F9/E9)*100</f>
        <v>77.455268389662038</v>
      </c>
    </row>
    <row r="10" spans="1:8" ht="37.5" hidden="1" customHeight="1">
      <c r="A10" s="173">
        <v>3</v>
      </c>
      <c r="B10" s="169" t="s">
        <v>269</v>
      </c>
      <c r="C10" s="160"/>
      <c r="D10" s="170"/>
      <c r="E10" s="167"/>
      <c r="F10" s="170"/>
      <c r="G10" s="171">
        <f t="shared" si="2"/>
        <v>0</v>
      </c>
      <c r="H10" s="175" t="e">
        <f t="shared" si="3"/>
        <v>#DIV/0!</v>
      </c>
    </row>
    <row r="11" spans="1:8" ht="30.75" customHeight="1">
      <c r="A11" s="176" t="s">
        <v>43</v>
      </c>
      <c r="B11" s="177"/>
      <c r="C11" s="166">
        <v>1042</v>
      </c>
      <c r="D11" s="167">
        <f>SUM(D12:D20)</f>
        <v>4187</v>
      </c>
      <c r="E11" s="167">
        <f>SUM(E12:E20)</f>
        <v>4061.2000000000003</v>
      </c>
      <c r="F11" s="167">
        <f>SUM(F12:F20)</f>
        <v>3486.3999999999996</v>
      </c>
      <c r="G11" s="162">
        <f t="shared" si="2"/>
        <v>-574.80000000000064</v>
      </c>
      <c r="H11" s="163">
        <f t="shared" si="3"/>
        <v>85.846547818378795</v>
      </c>
    </row>
    <row r="12" spans="1:8" ht="79.5" customHeight="1">
      <c r="A12" s="168">
        <v>1</v>
      </c>
      <c r="B12" s="178" t="s">
        <v>139</v>
      </c>
      <c r="C12" s="160"/>
      <c r="D12" s="170">
        <v>1.3</v>
      </c>
      <c r="E12" s="170">
        <v>6</v>
      </c>
      <c r="F12" s="170">
        <v>0.7</v>
      </c>
      <c r="G12" s="171">
        <f t="shared" si="2"/>
        <v>-5.3</v>
      </c>
      <c r="H12" s="174">
        <f t="shared" si="3"/>
        <v>11.666666666666666</v>
      </c>
    </row>
    <row r="13" spans="1:8" ht="40.5" customHeight="1">
      <c r="A13" s="168">
        <v>2</v>
      </c>
      <c r="B13" s="169" t="s">
        <v>140</v>
      </c>
      <c r="C13" s="160"/>
      <c r="D13" s="170">
        <v>1189.4000000000001</v>
      </c>
      <c r="E13" s="170">
        <v>1093.7</v>
      </c>
      <c r="F13" s="170">
        <v>1091.3</v>
      </c>
      <c r="G13" s="179">
        <f t="shared" si="2"/>
        <v>-2.4000000000000909</v>
      </c>
      <c r="H13" s="174">
        <f t="shared" si="3"/>
        <v>99.780561397092427</v>
      </c>
    </row>
    <row r="14" spans="1:8" ht="40.5" customHeight="1">
      <c r="A14" s="168">
        <v>3</v>
      </c>
      <c r="B14" s="169" t="s">
        <v>296</v>
      </c>
      <c r="C14" s="160"/>
      <c r="D14" s="170">
        <v>280</v>
      </c>
      <c r="E14" s="170"/>
      <c r="F14" s="170">
        <v>271.8</v>
      </c>
      <c r="G14" s="179">
        <f t="shared" si="2"/>
        <v>271.8</v>
      </c>
      <c r="H14" s="175" t="e">
        <f t="shared" si="3"/>
        <v>#DIV/0!</v>
      </c>
    </row>
    <row r="15" spans="1:8" ht="66" customHeight="1">
      <c r="A15" s="168">
        <v>4</v>
      </c>
      <c r="B15" s="169" t="s">
        <v>270</v>
      </c>
      <c r="C15" s="160"/>
      <c r="D15" s="170">
        <v>2116.6</v>
      </c>
      <c r="E15" s="170">
        <v>2905.1</v>
      </c>
      <c r="F15" s="170">
        <v>1012.8</v>
      </c>
      <c r="G15" s="179">
        <f t="shared" si="2"/>
        <v>-1892.3</v>
      </c>
      <c r="H15" s="174">
        <f t="shared" si="3"/>
        <v>34.862827441396163</v>
      </c>
    </row>
    <row r="16" spans="1:8" ht="44.25" customHeight="1">
      <c r="A16" s="168">
        <v>5</v>
      </c>
      <c r="B16" s="180" t="s">
        <v>141</v>
      </c>
      <c r="C16" s="160"/>
      <c r="D16" s="170">
        <v>525.9</v>
      </c>
      <c r="E16" s="170"/>
      <c r="F16" s="170">
        <v>1052.5</v>
      </c>
      <c r="G16" s="179">
        <f t="shared" si="2"/>
        <v>1052.5</v>
      </c>
      <c r="H16" s="175" t="e">
        <f t="shared" si="3"/>
        <v>#DIV/0!</v>
      </c>
    </row>
    <row r="17" spans="1:8" ht="39.75" customHeight="1">
      <c r="A17" s="168">
        <v>6</v>
      </c>
      <c r="B17" s="169" t="s">
        <v>142</v>
      </c>
      <c r="C17" s="160"/>
      <c r="D17" s="170">
        <v>51.6</v>
      </c>
      <c r="E17" s="170">
        <v>56.4</v>
      </c>
      <c r="F17" s="170">
        <v>57</v>
      </c>
      <c r="G17" s="179">
        <f t="shared" si="2"/>
        <v>0.60000000000000142</v>
      </c>
      <c r="H17" s="174">
        <f t="shared" si="3"/>
        <v>101.06382978723406</v>
      </c>
    </row>
    <row r="18" spans="1:8" ht="39.75" customHeight="1">
      <c r="A18" s="168">
        <v>7</v>
      </c>
      <c r="B18" s="169" t="s">
        <v>144</v>
      </c>
      <c r="C18" s="160"/>
      <c r="D18" s="170"/>
      <c r="E18" s="170"/>
      <c r="F18" s="170">
        <v>0.2</v>
      </c>
      <c r="G18" s="179">
        <f t="shared" si="2"/>
        <v>0.2</v>
      </c>
      <c r="H18" s="175" t="e">
        <f t="shared" si="3"/>
        <v>#DIV/0!</v>
      </c>
    </row>
    <row r="19" spans="1:8" ht="30.75" customHeight="1">
      <c r="A19" s="168">
        <v>8</v>
      </c>
      <c r="B19" s="180" t="s">
        <v>143</v>
      </c>
      <c r="C19" s="160"/>
      <c r="D19" s="170">
        <v>22.2</v>
      </c>
      <c r="E19" s="170"/>
      <c r="F19" s="170">
        <v>0.1</v>
      </c>
      <c r="G19" s="171">
        <f t="shared" si="2"/>
        <v>0.1</v>
      </c>
      <c r="H19" s="175" t="e">
        <f t="shared" si="3"/>
        <v>#DIV/0!</v>
      </c>
    </row>
    <row r="20" spans="1:8" ht="44.25" hidden="1" customHeight="1">
      <c r="A20" s="168">
        <v>8</v>
      </c>
      <c r="B20" s="169" t="s">
        <v>144</v>
      </c>
      <c r="C20" s="160"/>
      <c r="D20" s="170"/>
      <c r="E20" s="170"/>
      <c r="F20" s="170"/>
      <c r="G20" s="171">
        <f t="shared" si="2"/>
        <v>0</v>
      </c>
      <c r="H20" s="172" t="e">
        <f t="shared" si="3"/>
        <v>#DIV/0!</v>
      </c>
    </row>
    <row r="21" spans="1:8" ht="35.25" customHeight="1">
      <c r="A21" s="176" t="s">
        <v>86</v>
      </c>
      <c r="B21" s="181"/>
      <c r="C21" s="166">
        <v>1130</v>
      </c>
      <c r="D21" s="167">
        <f>D22</f>
        <v>502.7</v>
      </c>
      <c r="E21" s="167">
        <f>E22</f>
        <v>400</v>
      </c>
      <c r="F21" s="167">
        <f>F22</f>
        <v>281</v>
      </c>
      <c r="G21" s="162">
        <f t="shared" si="2"/>
        <v>-119</v>
      </c>
      <c r="H21" s="163">
        <f t="shared" si="3"/>
        <v>70.25</v>
      </c>
    </row>
    <row r="22" spans="1:8" ht="39" customHeight="1">
      <c r="A22" s="182">
        <v>1</v>
      </c>
      <c r="B22" s="169" t="s">
        <v>245</v>
      </c>
      <c r="C22" s="160"/>
      <c r="D22" s="170">
        <v>502.7</v>
      </c>
      <c r="E22" s="167">
        <v>400</v>
      </c>
      <c r="F22" s="170">
        <v>281</v>
      </c>
      <c r="G22" s="171">
        <f t="shared" si="2"/>
        <v>-119</v>
      </c>
      <c r="H22" s="172">
        <f t="shared" si="3"/>
        <v>70.25</v>
      </c>
    </row>
    <row r="23" spans="1:8" s="183" customFormat="1" ht="39" customHeight="1">
      <c r="A23" s="176" t="s">
        <v>27</v>
      </c>
      <c r="B23" s="181"/>
      <c r="C23" s="166">
        <v>1150</v>
      </c>
      <c r="D23" s="167">
        <f t="shared" ref="D23" si="4">D24+D25</f>
        <v>135</v>
      </c>
      <c r="E23" s="167">
        <f>E24+E25</f>
        <v>125</v>
      </c>
      <c r="F23" s="167">
        <f>F24+F25+F26</f>
        <v>135.5</v>
      </c>
      <c r="G23" s="167">
        <f t="shared" ref="G23" si="5">G24+G25</f>
        <v>10.299999999999997</v>
      </c>
      <c r="H23" s="167">
        <f t="shared" si="3"/>
        <v>108.4</v>
      </c>
    </row>
    <row r="24" spans="1:8" s="183" customFormat="1" ht="39" customHeight="1">
      <c r="A24" s="168">
        <v>1</v>
      </c>
      <c r="B24" s="184" t="s">
        <v>145</v>
      </c>
      <c r="C24" s="166"/>
      <c r="D24" s="170">
        <v>130</v>
      </c>
      <c r="E24" s="170">
        <v>116</v>
      </c>
      <c r="F24" s="170">
        <v>124.3</v>
      </c>
      <c r="G24" s="171">
        <f t="shared" si="2"/>
        <v>8.2999999999999972</v>
      </c>
      <c r="H24" s="172">
        <f t="shared" si="3"/>
        <v>107.15517241379311</v>
      </c>
    </row>
    <row r="25" spans="1:8" s="183" customFormat="1" ht="37.5" customHeight="1">
      <c r="A25" s="168">
        <v>2</v>
      </c>
      <c r="B25" s="184" t="s">
        <v>146</v>
      </c>
      <c r="C25" s="166"/>
      <c r="D25" s="170">
        <v>5</v>
      </c>
      <c r="E25" s="170">
        <v>9</v>
      </c>
      <c r="F25" s="170">
        <v>11</v>
      </c>
      <c r="G25" s="171">
        <f t="shared" si="2"/>
        <v>2</v>
      </c>
      <c r="H25" s="174">
        <f t="shared" si="3"/>
        <v>122.22222222222223</v>
      </c>
    </row>
    <row r="26" spans="1:8" s="183" customFormat="1" ht="37.5" customHeight="1">
      <c r="A26" s="168">
        <v>3</v>
      </c>
      <c r="B26" s="169" t="s">
        <v>332</v>
      </c>
      <c r="C26" s="166"/>
      <c r="D26" s="170"/>
      <c r="E26" s="170"/>
      <c r="F26" s="170">
        <v>0.2</v>
      </c>
      <c r="G26" s="171">
        <f t="shared" ref="G26" si="6">F26-E26</f>
        <v>0.2</v>
      </c>
      <c r="H26" s="175" t="e">
        <f t="shared" ref="H26" si="7">(F26/E26)*100</f>
        <v>#DIV/0!</v>
      </c>
    </row>
    <row r="27" spans="1:8" s="183" customFormat="1" ht="29.25" customHeight="1">
      <c r="A27" s="158" t="s">
        <v>87</v>
      </c>
      <c r="B27" s="159"/>
      <c r="C27" s="166"/>
      <c r="D27" s="167"/>
      <c r="E27" s="167"/>
      <c r="F27" s="167"/>
      <c r="G27" s="162"/>
      <c r="H27" s="162"/>
    </row>
    <row r="28" spans="1:8" s="183" customFormat="1" ht="42.75" customHeight="1">
      <c r="A28" s="164" t="s">
        <v>259</v>
      </c>
      <c r="B28" s="165"/>
      <c r="C28" s="166"/>
      <c r="D28" s="167"/>
      <c r="E28" s="167"/>
      <c r="F28" s="167"/>
      <c r="G28" s="162"/>
      <c r="H28" s="162"/>
    </row>
    <row r="29" spans="1:8" s="183" customFormat="1" ht="32.25" customHeight="1">
      <c r="A29" s="185" t="s">
        <v>260</v>
      </c>
      <c r="B29" s="186"/>
      <c r="C29" s="166">
        <v>1011</v>
      </c>
      <c r="D29" s="167">
        <f>SUM(D30:D59)</f>
        <v>3039.9</v>
      </c>
      <c r="E29" s="167">
        <f>SUM(E30:E59)</f>
        <v>2315.6</v>
      </c>
      <c r="F29" s="167">
        <f>SUM(F30:F59)</f>
        <v>2685.7000000000003</v>
      </c>
      <c r="G29" s="162">
        <f t="shared" ref="G29" si="8">F29-E29</f>
        <v>370.10000000000036</v>
      </c>
      <c r="H29" s="163">
        <f t="shared" ref="H29" si="9">(F29/E29)*100</f>
        <v>115.98289860079463</v>
      </c>
    </row>
    <row r="30" spans="1:8" s="183" customFormat="1" ht="21" customHeight="1">
      <c r="A30" s="187"/>
      <c r="B30" s="187" t="s">
        <v>219</v>
      </c>
      <c r="C30" s="166"/>
      <c r="D30" s="170">
        <f>9.3+6.6+520</f>
        <v>535.9</v>
      </c>
      <c r="E30" s="170">
        <v>25</v>
      </c>
      <c r="F30" s="170">
        <f>11.8+1.1+979.7</f>
        <v>992.6</v>
      </c>
      <c r="G30" s="171">
        <f t="shared" ref="G30" si="10">F30-E30</f>
        <v>967.6</v>
      </c>
      <c r="H30" s="172">
        <f t="shared" ref="H30" si="11">(F30/E30)*100</f>
        <v>3970.4</v>
      </c>
    </row>
    <row r="31" spans="1:8" s="183" customFormat="1" ht="21" customHeight="1">
      <c r="A31" s="187"/>
      <c r="B31" s="187" t="s">
        <v>188</v>
      </c>
      <c r="C31" s="166"/>
      <c r="D31" s="170">
        <v>49.7</v>
      </c>
      <c r="E31" s="170">
        <v>100</v>
      </c>
      <c r="F31" s="170">
        <f>24.3</f>
        <v>24.3</v>
      </c>
      <c r="G31" s="171">
        <f t="shared" ref="G31:G34" si="12">F31-E31</f>
        <v>-75.7</v>
      </c>
      <c r="H31" s="172">
        <f t="shared" ref="H31:H34" si="13">(F31/E31)*100</f>
        <v>24.3</v>
      </c>
    </row>
    <row r="32" spans="1:8" s="183" customFormat="1" ht="22.5" customHeight="1">
      <c r="A32" s="187"/>
      <c r="B32" s="187" t="s">
        <v>148</v>
      </c>
      <c r="C32" s="166"/>
      <c r="D32" s="170">
        <f>9.1+11.3+0.1</f>
        <v>20.5</v>
      </c>
      <c r="E32" s="170">
        <v>20</v>
      </c>
      <c r="F32" s="170">
        <f>22.8+16.1</f>
        <v>38.900000000000006</v>
      </c>
      <c r="G32" s="171">
        <f t="shared" si="12"/>
        <v>18.900000000000006</v>
      </c>
      <c r="H32" s="172">
        <f t="shared" si="13"/>
        <v>194.50000000000003</v>
      </c>
    </row>
    <row r="33" spans="1:8" s="183" customFormat="1" ht="22.5" customHeight="1">
      <c r="A33" s="187"/>
      <c r="B33" s="187" t="s">
        <v>246</v>
      </c>
      <c r="C33" s="166"/>
      <c r="D33" s="170">
        <f>60.1</f>
        <v>60.1</v>
      </c>
      <c r="E33" s="170">
        <v>50</v>
      </c>
      <c r="F33" s="170">
        <v>12.2</v>
      </c>
      <c r="G33" s="171">
        <f t="shared" si="12"/>
        <v>-37.799999999999997</v>
      </c>
      <c r="H33" s="172">
        <f t="shared" si="13"/>
        <v>24.4</v>
      </c>
    </row>
    <row r="34" spans="1:8" s="183" customFormat="1" ht="36.75" customHeight="1">
      <c r="A34" s="188"/>
      <c r="B34" s="187" t="s">
        <v>275</v>
      </c>
      <c r="C34" s="166"/>
      <c r="D34" s="170">
        <v>444.4</v>
      </c>
      <c r="E34" s="170">
        <v>500</v>
      </c>
      <c r="F34" s="170">
        <v>196.7</v>
      </c>
      <c r="G34" s="171">
        <f t="shared" si="12"/>
        <v>-303.3</v>
      </c>
      <c r="H34" s="172">
        <f t="shared" si="13"/>
        <v>39.339999999999996</v>
      </c>
    </row>
    <row r="35" spans="1:8" s="183" customFormat="1" ht="38.25" customHeight="1">
      <c r="A35" s="188"/>
      <c r="B35" s="188" t="s">
        <v>247</v>
      </c>
      <c r="C35" s="166"/>
      <c r="D35" s="170">
        <f>267.9+433.3+4.4</f>
        <v>705.6</v>
      </c>
      <c r="E35" s="170">
        <v>500</v>
      </c>
      <c r="F35" s="170">
        <f>236.7+0.9+35.8+51.1</f>
        <v>324.5</v>
      </c>
      <c r="G35" s="171">
        <f t="shared" ref="G35:G84" si="14">F35-E35</f>
        <v>-175.5</v>
      </c>
      <c r="H35" s="172">
        <f t="shared" ref="H35:H84" si="15">(F35/E35)*100</f>
        <v>64.900000000000006</v>
      </c>
    </row>
    <row r="36" spans="1:8" s="183" customFormat="1" ht="22.5" customHeight="1">
      <c r="A36" s="188"/>
      <c r="B36" s="188" t="s">
        <v>149</v>
      </c>
      <c r="C36" s="166"/>
      <c r="D36" s="170">
        <f>54.9+19+15.5+1.4</f>
        <v>90.800000000000011</v>
      </c>
      <c r="E36" s="170">
        <v>20</v>
      </c>
      <c r="F36" s="170">
        <f>48.3+2.8</f>
        <v>51.099999999999994</v>
      </c>
      <c r="G36" s="171">
        <f t="shared" si="14"/>
        <v>31.099999999999994</v>
      </c>
      <c r="H36" s="172">
        <f t="shared" si="15"/>
        <v>255.49999999999997</v>
      </c>
    </row>
    <row r="37" spans="1:8">
      <c r="A37" s="188"/>
      <c r="B37" s="189" t="s">
        <v>150</v>
      </c>
      <c r="C37" s="166"/>
      <c r="D37" s="170">
        <f>23.1</f>
        <v>23.1</v>
      </c>
      <c r="E37" s="170">
        <v>20</v>
      </c>
      <c r="F37" s="170">
        <v>26.4</v>
      </c>
      <c r="G37" s="171">
        <f t="shared" si="14"/>
        <v>6.3999999999999986</v>
      </c>
      <c r="H37" s="172">
        <f t="shared" si="15"/>
        <v>131.99999999999997</v>
      </c>
    </row>
    <row r="38" spans="1:8" ht="24.75" customHeight="1">
      <c r="A38" s="188"/>
      <c r="B38" s="189" t="s">
        <v>151</v>
      </c>
      <c r="C38" s="166"/>
      <c r="D38" s="170">
        <v>6.1</v>
      </c>
      <c r="E38" s="170">
        <v>5</v>
      </c>
      <c r="F38" s="170">
        <v>2.5</v>
      </c>
      <c r="G38" s="171">
        <f t="shared" si="14"/>
        <v>-2.5</v>
      </c>
      <c r="H38" s="172">
        <f t="shared" si="15"/>
        <v>50</v>
      </c>
    </row>
    <row r="39" spans="1:8">
      <c r="A39" s="188"/>
      <c r="B39" s="189" t="s">
        <v>152</v>
      </c>
      <c r="C39" s="166"/>
      <c r="D39" s="170">
        <v>0.2</v>
      </c>
      <c r="E39" s="170">
        <v>1</v>
      </c>
      <c r="F39" s="170"/>
      <c r="G39" s="171">
        <f t="shared" si="14"/>
        <v>-1</v>
      </c>
      <c r="H39" s="172">
        <f t="shared" si="15"/>
        <v>0</v>
      </c>
    </row>
    <row r="40" spans="1:8">
      <c r="A40" s="188"/>
      <c r="B40" s="189" t="s">
        <v>153</v>
      </c>
      <c r="C40" s="166"/>
      <c r="D40" s="170">
        <v>0.2</v>
      </c>
      <c r="E40" s="170">
        <v>10</v>
      </c>
      <c r="F40" s="170">
        <v>15.6</v>
      </c>
      <c r="G40" s="171">
        <f t="shared" si="14"/>
        <v>5.6</v>
      </c>
      <c r="H40" s="172">
        <f t="shared" si="15"/>
        <v>156</v>
      </c>
    </row>
    <row r="41" spans="1:8">
      <c r="A41" s="188"/>
      <c r="B41" s="189" t="s">
        <v>154</v>
      </c>
      <c r="C41" s="166"/>
      <c r="D41" s="170">
        <v>45.5</v>
      </c>
      <c r="E41" s="170">
        <v>50</v>
      </c>
      <c r="F41" s="170">
        <v>60.9</v>
      </c>
      <c r="G41" s="171">
        <f t="shared" si="14"/>
        <v>10.899999999999999</v>
      </c>
      <c r="H41" s="172">
        <f t="shared" si="15"/>
        <v>121.8</v>
      </c>
    </row>
    <row r="42" spans="1:8">
      <c r="A42" s="188"/>
      <c r="B42" s="189" t="s">
        <v>155</v>
      </c>
      <c r="C42" s="166"/>
      <c r="D42" s="170">
        <v>0.5</v>
      </c>
      <c r="E42" s="170">
        <v>0.6</v>
      </c>
      <c r="F42" s="170">
        <v>0.6</v>
      </c>
      <c r="G42" s="171">
        <f t="shared" si="14"/>
        <v>0</v>
      </c>
      <c r="H42" s="172">
        <f t="shared" si="15"/>
        <v>100</v>
      </c>
    </row>
    <row r="43" spans="1:8">
      <c r="A43" s="188"/>
      <c r="B43" s="189" t="s">
        <v>303</v>
      </c>
      <c r="C43" s="166"/>
      <c r="D43" s="170"/>
      <c r="E43" s="170">
        <v>10</v>
      </c>
      <c r="F43" s="170"/>
      <c r="G43" s="171">
        <f t="shared" si="14"/>
        <v>-10</v>
      </c>
      <c r="H43" s="172">
        <f t="shared" si="15"/>
        <v>0</v>
      </c>
    </row>
    <row r="44" spans="1:8">
      <c r="A44" s="188"/>
      <c r="B44" s="189" t="s">
        <v>302</v>
      </c>
      <c r="C44" s="166"/>
      <c r="D44" s="170">
        <f>3.8+0.9</f>
        <v>4.7</v>
      </c>
      <c r="E44" s="170">
        <v>15</v>
      </c>
      <c r="F44" s="170"/>
      <c r="G44" s="171">
        <f t="shared" ref="G44" si="16">F44-E44</f>
        <v>-15</v>
      </c>
      <c r="H44" s="172">
        <f t="shared" ref="H44" si="17">(F44/E44)*100</f>
        <v>0</v>
      </c>
    </row>
    <row r="45" spans="1:8" ht="37.5">
      <c r="A45" s="188"/>
      <c r="B45" s="180" t="s">
        <v>156</v>
      </c>
      <c r="C45" s="166"/>
      <c r="D45" s="170">
        <v>10.5</v>
      </c>
      <c r="E45" s="170">
        <v>40</v>
      </c>
      <c r="F45" s="170">
        <f>19.5+0.6</f>
        <v>20.100000000000001</v>
      </c>
      <c r="G45" s="171">
        <f t="shared" si="14"/>
        <v>-19.899999999999999</v>
      </c>
      <c r="H45" s="172">
        <f t="shared" si="15"/>
        <v>50.250000000000007</v>
      </c>
    </row>
    <row r="46" spans="1:8">
      <c r="A46" s="188"/>
      <c r="B46" s="180" t="s">
        <v>157</v>
      </c>
      <c r="C46" s="166"/>
      <c r="D46" s="170">
        <v>12</v>
      </c>
      <c r="E46" s="170">
        <v>20</v>
      </c>
      <c r="F46" s="170">
        <v>8.8000000000000007</v>
      </c>
      <c r="G46" s="171">
        <f t="shared" si="14"/>
        <v>-11.2</v>
      </c>
      <c r="H46" s="172">
        <f t="shared" si="15"/>
        <v>44.000000000000007</v>
      </c>
    </row>
    <row r="47" spans="1:8">
      <c r="A47" s="188"/>
      <c r="B47" s="180" t="s">
        <v>248</v>
      </c>
      <c r="C47" s="166"/>
      <c r="D47" s="170">
        <v>37.6</v>
      </c>
      <c r="E47" s="170">
        <v>15</v>
      </c>
      <c r="F47" s="170"/>
      <c r="G47" s="171">
        <f t="shared" si="14"/>
        <v>-15</v>
      </c>
      <c r="H47" s="172">
        <f t="shared" si="15"/>
        <v>0</v>
      </c>
    </row>
    <row r="48" spans="1:8">
      <c r="A48" s="188"/>
      <c r="B48" s="180" t="s">
        <v>304</v>
      </c>
      <c r="C48" s="166"/>
      <c r="D48" s="170"/>
      <c r="E48" s="170">
        <v>5</v>
      </c>
      <c r="F48" s="170"/>
      <c r="G48" s="171">
        <f t="shared" si="14"/>
        <v>-5</v>
      </c>
      <c r="H48" s="172">
        <f t="shared" si="15"/>
        <v>0</v>
      </c>
    </row>
    <row r="49" spans="1:8">
      <c r="A49" s="188"/>
      <c r="B49" s="190" t="s">
        <v>158</v>
      </c>
      <c r="C49" s="166"/>
      <c r="D49" s="170">
        <f>469.7+42.2+7.4</f>
        <v>519.29999999999995</v>
      </c>
      <c r="E49" s="170">
        <v>511.8</v>
      </c>
      <c r="F49" s="170">
        <f>504.8+7.1</f>
        <v>511.90000000000003</v>
      </c>
      <c r="G49" s="171">
        <f t="shared" si="14"/>
        <v>0.10000000000002274</v>
      </c>
      <c r="H49" s="172">
        <f t="shared" si="15"/>
        <v>100.01953888237594</v>
      </c>
    </row>
    <row r="50" spans="1:8">
      <c r="A50" s="188"/>
      <c r="B50" s="190" t="s">
        <v>159</v>
      </c>
      <c r="C50" s="166"/>
      <c r="D50" s="170">
        <f>7.9+1.3+0.2</f>
        <v>9.4</v>
      </c>
      <c r="E50" s="170">
        <v>10</v>
      </c>
      <c r="F50" s="170">
        <f>9.6+0.3</f>
        <v>9.9</v>
      </c>
      <c r="G50" s="171">
        <f t="shared" si="14"/>
        <v>-9.9999999999999645E-2</v>
      </c>
      <c r="H50" s="172">
        <f t="shared" si="15"/>
        <v>99</v>
      </c>
    </row>
    <row r="51" spans="1:8">
      <c r="A51" s="188"/>
      <c r="B51" s="190" t="s">
        <v>160</v>
      </c>
      <c r="C51" s="166"/>
      <c r="D51" s="170">
        <f>223.8+7.4+1.2</f>
        <v>232.4</v>
      </c>
      <c r="E51" s="170">
        <v>323.10000000000002</v>
      </c>
      <c r="F51" s="170">
        <f>321.5+2.4</f>
        <v>323.89999999999998</v>
      </c>
      <c r="G51" s="171">
        <f t="shared" si="14"/>
        <v>0.79999999999995453</v>
      </c>
      <c r="H51" s="172">
        <f t="shared" si="15"/>
        <v>100.24760136180748</v>
      </c>
    </row>
    <row r="52" spans="1:8">
      <c r="A52" s="188"/>
      <c r="B52" s="180" t="s">
        <v>161</v>
      </c>
      <c r="C52" s="166"/>
      <c r="D52" s="170">
        <v>141.19999999999999</v>
      </c>
      <c r="E52" s="170">
        <v>53.9</v>
      </c>
      <c r="F52" s="170">
        <v>53.9</v>
      </c>
      <c r="G52" s="171">
        <f t="shared" si="14"/>
        <v>0</v>
      </c>
      <c r="H52" s="172">
        <f t="shared" si="15"/>
        <v>100</v>
      </c>
    </row>
    <row r="53" spans="1:8">
      <c r="A53" s="188"/>
      <c r="B53" s="180" t="s">
        <v>305</v>
      </c>
      <c r="C53" s="166"/>
      <c r="D53" s="170">
        <v>0.1</v>
      </c>
      <c r="E53" s="170">
        <v>0.1</v>
      </c>
      <c r="F53" s="170"/>
      <c r="G53" s="171">
        <f t="shared" ref="G53" si="18">F53-E53</f>
        <v>-0.1</v>
      </c>
      <c r="H53" s="175">
        <f t="shared" ref="H53" si="19">(F53/E53)*100</f>
        <v>0</v>
      </c>
    </row>
    <row r="54" spans="1:8" ht="21.75" customHeight="1">
      <c r="A54" s="188"/>
      <c r="B54" s="180" t="s">
        <v>162</v>
      </c>
      <c r="C54" s="166"/>
      <c r="D54" s="170">
        <f>9+0.6</f>
        <v>9.6</v>
      </c>
      <c r="E54" s="170">
        <v>10.1</v>
      </c>
      <c r="F54" s="170">
        <f>10+0.1</f>
        <v>10.1</v>
      </c>
      <c r="G54" s="171">
        <f t="shared" si="14"/>
        <v>0</v>
      </c>
      <c r="H54" s="172">
        <f t="shared" si="15"/>
        <v>100</v>
      </c>
    </row>
    <row r="55" spans="1:8" ht="24.75" customHeight="1">
      <c r="A55" s="188"/>
      <c r="B55" s="169" t="s">
        <v>163</v>
      </c>
      <c r="C55" s="166"/>
      <c r="D55" s="170">
        <v>63</v>
      </c>
      <c r="E55" s="170"/>
      <c r="F55" s="170">
        <v>0.8</v>
      </c>
      <c r="G55" s="171">
        <f t="shared" si="14"/>
        <v>0.8</v>
      </c>
      <c r="H55" s="175" t="e">
        <f t="shared" si="15"/>
        <v>#DIV/0!</v>
      </c>
    </row>
    <row r="56" spans="1:8" ht="21.75" customHeight="1">
      <c r="A56" s="188"/>
      <c r="B56" s="187" t="s">
        <v>195</v>
      </c>
      <c r="C56" s="166"/>
      <c r="D56" s="170">
        <v>2.1</v>
      </c>
      <c r="E56" s="170"/>
      <c r="F56" s="170"/>
      <c r="G56" s="171">
        <f t="shared" ref="G56:G59" si="20">F56-E56</f>
        <v>0</v>
      </c>
      <c r="H56" s="175" t="e">
        <f t="shared" ref="H56:H59" si="21">(F56/E56)*100</f>
        <v>#DIV/0!</v>
      </c>
    </row>
    <row r="57" spans="1:8" ht="37.5">
      <c r="A57" s="188"/>
      <c r="B57" s="187" t="s">
        <v>316</v>
      </c>
      <c r="C57" s="166"/>
      <c r="D57" s="170">
        <v>4.3</v>
      </c>
      <c r="E57" s="170"/>
      <c r="F57" s="170"/>
      <c r="G57" s="171">
        <f t="shared" si="20"/>
        <v>0</v>
      </c>
      <c r="H57" s="175" t="e">
        <f t="shared" si="21"/>
        <v>#DIV/0!</v>
      </c>
    </row>
    <row r="58" spans="1:8" ht="37.5">
      <c r="A58" s="188"/>
      <c r="B58" s="187" t="s">
        <v>317</v>
      </c>
      <c r="C58" s="166"/>
      <c r="D58" s="170">
        <v>4.3</v>
      </c>
      <c r="E58" s="170"/>
      <c r="F58" s="170"/>
      <c r="G58" s="171">
        <f t="shared" si="20"/>
        <v>0</v>
      </c>
      <c r="H58" s="175" t="e">
        <f t="shared" si="21"/>
        <v>#DIV/0!</v>
      </c>
    </row>
    <row r="59" spans="1:8" ht="37.5">
      <c r="A59" s="188"/>
      <c r="B59" s="187" t="s">
        <v>318</v>
      </c>
      <c r="C59" s="166"/>
      <c r="D59" s="170">
        <v>6.8</v>
      </c>
      <c r="E59" s="170"/>
      <c r="F59" s="170"/>
      <c r="G59" s="171">
        <f t="shared" si="20"/>
        <v>0</v>
      </c>
      <c r="H59" s="175" t="e">
        <f t="shared" si="21"/>
        <v>#DIV/0!</v>
      </c>
    </row>
    <row r="60" spans="1:8" ht="25.5" customHeight="1">
      <c r="A60" s="185" t="s">
        <v>88</v>
      </c>
      <c r="B60" s="186"/>
      <c r="C60" s="166">
        <v>1015</v>
      </c>
      <c r="D60" s="167">
        <f>SUM(D61:D82)</f>
        <v>148.4</v>
      </c>
      <c r="E60" s="167">
        <f>SUM(E61:E82)</f>
        <v>295.60000000000002</v>
      </c>
      <c r="F60" s="167">
        <f>SUM(F61:F82)</f>
        <v>133.79999999999998</v>
      </c>
      <c r="G60" s="162">
        <f t="shared" si="14"/>
        <v>-161.80000000000004</v>
      </c>
      <c r="H60" s="163">
        <f t="shared" si="15"/>
        <v>45.263870094722591</v>
      </c>
    </row>
    <row r="61" spans="1:8" ht="37.5">
      <c r="A61" s="166"/>
      <c r="B61" s="188" t="s">
        <v>319</v>
      </c>
      <c r="C61" s="166"/>
      <c r="D61" s="170">
        <v>2.8</v>
      </c>
      <c r="E61" s="170"/>
      <c r="F61" s="170">
        <v>2.8</v>
      </c>
      <c r="G61" s="171">
        <f t="shared" si="14"/>
        <v>2.8</v>
      </c>
      <c r="H61" s="175" t="e">
        <f t="shared" si="15"/>
        <v>#DIV/0!</v>
      </c>
    </row>
    <row r="62" spans="1:8" ht="21.75" customHeight="1">
      <c r="A62" s="166"/>
      <c r="B62" s="189" t="s">
        <v>164</v>
      </c>
      <c r="C62" s="166"/>
      <c r="D62" s="170"/>
      <c r="E62" s="170">
        <v>10</v>
      </c>
      <c r="F62" s="170"/>
      <c r="G62" s="171">
        <f t="shared" si="14"/>
        <v>-10</v>
      </c>
      <c r="H62" s="172">
        <f t="shared" si="15"/>
        <v>0</v>
      </c>
    </row>
    <row r="63" spans="1:8" ht="37.5">
      <c r="A63" s="166"/>
      <c r="B63" s="180" t="s">
        <v>165</v>
      </c>
      <c r="C63" s="166"/>
      <c r="D63" s="170"/>
      <c r="E63" s="170">
        <v>10</v>
      </c>
      <c r="F63" s="170">
        <v>13.8</v>
      </c>
      <c r="G63" s="171">
        <f t="shared" si="14"/>
        <v>3.8000000000000007</v>
      </c>
      <c r="H63" s="172">
        <f t="shared" si="15"/>
        <v>138</v>
      </c>
    </row>
    <row r="64" spans="1:8">
      <c r="A64" s="166"/>
      <c r="B64" s="189" t="s">
        <v>166</v>
      </c>
      <c r="C64" s="166"/>
      <c r="D64" s="170">
        <v>2</v>
      </c>
      <c r="E64" s="170">
        <v>10</v>
      </c>
      <c r="F64" s="170"/>
      <c r="G64" s="171">
        <f t="shared" si="14"/>
        <v>-10</v>
      </c>
      <c r="H64" s="172">
        <f t="shared" si="15"/>
        <v>0</v>
      </c>
    </row>
    <row r="65" spans="1:8">
      <c r="A65" s="166"/>
      <c r="B65" s="189" t="s">
        <v>167</v>
      </c>
      <c r="C65" s="166"/>
      <c r="D65" s="170">
        <v>2.1</v>
      </c>
      <c r="E65" s="170">
        <v>10</v>
      </c>
      <c r="F65" s="170"/>
      <c r="G65" s="171">
        <f t="shared" si="14"/>
        <v>-10</v>
      </c>
      <c r="H65" s="172">
        <f t="shared" si="15"/>
        <v>0</v>
      </c>
    </row>
    <row r="66" spans="1:8">
      <c r="A66" s="166"/>
      <c r="B66" s="189" t="s">
        <v>168</v>
      </c>
      <c r="C66" s="166"/>
      <c r="D66" s="170">
        <v>3.8</v>
      </c>
      <c r="E66" s="170">
        <v>5</v>
      </c>
      <c r="F66" s="170">
        <v>4.5999999999999996</v>
      </c>
      <c r="G66" s="171">
        <f t="shared" si="14"/>
        <v>-0.40000000000000036</v>
      </c>
      <c r="H66" s="172">
        <f t="shared" si="15"/>
        <v>92</v>
      </c>
    </row>
    <row r="67" spans="1:8">
      <c r="A67" s="166"/>
      <c r="B67" s="189" t="s">
        <v>169</v>
      </c>
      <c r="C67" s="166"/>
      <c r="D67" s="170">
        <v>18.899999999999999</v>
      </c>
      <c r="E67" s="170">
        <v>25</v>
      </c>
      <c r="F67" s="170">
        <v>20</v>
      </c>
      <c r="G67" s="171">
        <f t="shared" si="14"/>
        <v>-5</v>
      </c>
      <c r="H67" s="172">
        <f t="shared" si="15"/>
        <v>80</v>
      </c>
    </row>
    <row r="68" spans="1:8">
      <c r="A68" s="166"/>
      <c r="B68" s="180" t="s">
        <v>170</v>
      </c>
      <c r="C68" s="166"/>
      <c r="D68" s="170">
        <v>27.9</v>
      </c>
      <c r="E68" s="170">
        <v>34.799999999999997</v>
      </c>
      <c r="F68" s="170">
        <f>34.8+2.8</f>
        <v>37.599999999999994</v>
      </c>
      <c r="G68" s="171">
        <f t="shared" si="14"/>
        <v>2.7999999999999972</v>
      </c>
      <c r="H68" s="172">
        <f t="shared" si="15"/>
        <v>108.04597701149426</v>
      </c>
    </row>
    <row r="69" spans="1:8">
      <c r="A69" s="166"/>
      <c r="B69" s="180" t="s">
        <v>171</v>
      </c>
      <c r="C69" s="166"/>
      <c r="D69" s="170">
        <v>44.8</v>
      </c>
      <c r="E69" s="170">
        <v>40</v>
      </c>
      <c r="F69" s="170">
        <v>27.8</v>
      </c>
      <c r="G69" s="171">
        <f t="shared" si="14"/>
        <v>-12.2</v>
      </c>
      <c r="H69" s="172">
        <f t="shared" si="15"/>
        <v>69.5</v>
      </c>
    </row>
    <row r="70" spans="1:8">
      <c r="A70" s="166"/>
      <c r="B70" s="180" t="s">
        <v>172</v>
      </c>
      <c r="C70" s="166"/>
      <c r="D70" s="170">
        <v>1.3</v>
      </c>
      <c r="E70" s="170">
        <v>2</v>
      </c>
      <c r="F70" s="170">
        <v>1.6</v>
      </c>
      <c r="G70" s="171">
        <f t="shared" si="14"/>
        <v>-0.39999999999999991</v>
      </c>
      <c r="H70" s="172">
        <f t="shared" si="15"/>
        <v>80</v>
      </c>
    </row>
    <row r="71" spans="1:8">
      <c r="A71" s="166"/>
      <c r="B71" s="189" t="s">
        <v>173</v>
      </c>
      <c r="C71" s="166"/>
      <c r="D71" s="170">
        <v>10.8</v>
      </c>
      <c r="E71" s="170">
        <v>15</v>
      </c>
      <c r="F71" s="170">
        <v>11.1</v>
      </c>
      <c r="G71" s="171">
        <f t="shared" si="14"/>
        <v>-3.9000000000000004</v>
      </c>
      <c r="H71" s="172">
        <f t="shared" si="15"/>
        <v>74</v>
      </c>
    </row>
    <row r="72" spans="1:8" ht="21.75" customHeight="1">
      <c r="A72" s="166"/>
      <c r="B72" s="189" t="s">
        <v>174</v>
      </c>
      <c r="C72" s="166"/>
      <c r="D72" s="170"/>
      <c r="E72" s="170">
        <v>1</v>
      </c>
      <c r="F72" s="170"/>
      <c r="G72" s="171">
        <f t="shared" si="14"/>
        <v>-1</v>
      </c>
      <c r="H72" s="172">
        <f t="shared" si="15"/>
        <v>0</v>
      </c>
    </row>
    <row r="73" spans="1:8">
      <c r="A73" s="166"/>
      <c r="B73" s="189" t="s">
        <v>195</v>
      </c>
      <c r="C73" s="166"/>
      <c r="D73" s="170">
        <v>12.6</v>
      </c>
      <c r="E73" s="170">
        <v>3</v>
      </c>
      <c r="F73" s="170">
        <v>1.5</v>
      </c>
      <c r="G73" s="171">
        <f t="shared" si="14"/>
        <v>-1.5</v>
      </c>
      <c r="H73" s="175">
        <f t="shared" si="15"/>
        <v>50</v>
      </c>
    </row>
    <row r="74" spans="1:8">
      <c r="A74" s="166"/>
      <c r="B74" s="189" t="s">
        <v>181</v>
      </c>
      <c r="C74" s="166"/>
      <c r="D74" s="170"/>
      <c r="E74" s="170">
        <v>100</v>
      </c>
      <c r="F74" s="170"/>
      <c r="G74" s="171">
        <f t="shared" si="14"/>
        <v>-100</v>
      </c>
      <c r="H74" s="172">
        <f t="shared" si="15"/>
        <v>0</v>
      </c>
    </row>
    <row r="75" spans="1:8" ht="37.5">
      <c r="A75" s="166"/>
      <c r="B75" s="188" t="s">
        <v>175</v>
      </c>
      <c r="C75" s="160"/>
      <c r="D75" s="170">
        <v>1.9</v>
      </c>
      <c r="E75" s="170">
        <v>8</v>
      </c>
      <c r="F75" s="170">
        <v>6.5</v>
      </c>
      <c r="G75" s="171">
        <f t="shared" si="14"/>
        <v>-1.5</v>
      </c>
      <c r="H75" s="172">
        <f t="shared" si="15"/>
        <v>81.25</v>
      </c>
    </row>
    <row r="76" spans="1:8">
      <c r="A76" s="166"/>
      <c r="B76" s="189" t="s">
        <v>176</v>
      </c>
      <c r="C76" s="160"/>
      <c r="D76" s="170">
        <v>3.8</v>
      </c>
      <c r="E76" s="170">
        <v>4</v>
      </c>
      <c r="F76" s="170">
        <v>3.9</v>
      </c>
      <c r="G76" s="171">
        <f t="shared" si="14"/>
        <v>-0.10000000000000009</v>
      </c>
      <c r="H76" s="172">
        <f t="shared" si="15"/>
        <v>97.5</v>
      </c>
    </row>
    <row r="77" spans="1:8">
      <c r="A77" s="166"/>
      <c r="B77" s="189" t="s">
        <v>177</v>
      </c>
      <c r="C77" s="160"/>
      <c r="D77" s="170"/>
      <c r="E77" s="170">
        <v>0.6</v>
      </c>
      <c r="F77" s="170"/>
      <c r="G77" s="171">
        <f t="shared" si="14"/>
        <v>-0.6</v>
      </c>
      <c r="H77" s="172">
        <f t="shared" si="15"/>
        <v>0</v>
      </c>
    </row>
    <row r="78" spans="1:8">
      <c r="A78" s="166"/>
      <c r="B78" s="189" t="s">
        <v>249</v>
      </c>
      <c r="C78" s="160"/>
      <c r="D78" s="170"/>
      <c r="E78" s="170">
        <v>0.2</v>
      </c>
      <c r="F78" s="170"/>
      <c r="G78" s="171">
        <f t="shared" si="14"/>
        <v>-0.2</v>
      </c>
      <c r="H78" s="172">
        <f t="shared" si="15"/>
        <v>0</v>
      </c>
    </row>
    <row r="79" spans="1:8">
      <c r="A79" s="166"/>
      <c r="B79" s="189" t="s">
        <v>262</v>
      </c>
      <c r="C79" s="160"/>
      <c r="D79" s="170"/>
      <c r="E79" s="170">
        <v>2</v>
      </c>
      <c r="F79" s="170"/>
      <c r="G79" s="171">
        <f t="shared" si="14"/>
        <v>-2</v>
      </c>
      <c r="H79" s="172">
        <f t="shared" si="15"/>
        <v>0</v>
      </c>
    </row>
    <row r="80" spans="1:8" ht="24" customHeight="1">
      <c r="A80" s="166"/>
      <c r="B80" s="191" t="s">
        <v>257</v>
      </c>
      <c r="C80" s="160"/>
      <c r="D80" s="170">
        <v>4.3</v>
      </c>
      <c r="E80" s="170"/>
      <c r="F80" s="170">
        <v>2.6</v>
      </c>
      <c r="G80" s="171">
        <f t="shared" si="14"/>
        <v>2.6</v>
      </c>
      <c r="H80" s="175" t="e">
        <f t="shared" si="15"/>
        <v>#DIV/0!</v>
      </c>
    </row>
    <row r="81" spans="1:8" ht="56.25">
      <c r="A81" s="166"/>
      <c r="B81" s="187" t="s">
        <v>280</v>
      </c>
      <c r="C81" s="160"/>
      <c r="D81" s="170">
        <v>11.3</v>
      </c>
      <c r="E81" s="170">
        <v>15</v>
      </c>
      <c r="F81" s="170"/>
      <c r="G81" s="171">
        <f t="shared" si="14"/>
        <v>-15</v>
      </c>
      <c r="H81" s="175">
        <f t="shared" si="15"/>
        <v>0</v>
      </c>
    </row>
    <row r="82" spans="1:8">
      <c r="A82" s="166"/>
      <c r="B82" s="191" t="s">
        <v>194</v>
      </c>
      <c r="C82" s="160"/>
      <c r="D82" s="170">
        <v>0.1</v>
      </c>
      <c r="E82" s="170"/>
      <c r="F82" s="170"/>
      <c r="G82" s="171">
        <f t="shared" si="14"/>
        <v>0</v>
      </c>
      <c r="H82" s="175" t="e">
        <f t="shared" si="15"/>
        <v>#DIV/0!</v>
      </c>
    </row>
    <row r="83" spans="1:8" ht="21.75" customHeight="1">
      <c r="A83" s="192" t="s">
        <v>89</v>
      </c>
      <c r="B83" s="192"/>
      <c r="C83" s="166"/>
      <c r="D83" s="167"/>
      <c r="E83" s="167"/>
      <c r="F83" s="167"/>
      <c r="G83" s="162"/>
      <c r="H83" s="175"/>
    </row>
    <row r="84" spans="1:8">
      <c r="A84" s="185" t="s">
        <v>147</v>
      </c>
      <c r="B84" s="186"/>
      <c r="C84" s="166">
        <v>1021</v>
      </c>
      <c r="D84" s="167">
        <f>SUM(D85:D86)</f>
        <v>30.5</v>
      </c>
      <c r="E84" s="167">
        <f t="shared" ref="E84" si="22">SUM(E85:E86)</f>
        <v>35</v>
      </c>
      <c r="F84" s="167">
        <f>SUM(F85:F86)</f>
        <v>49.4</v>
      </c>
      <c r="G84" s="162">
        <f t="shared" si="14"/>
        <v>14.399999999999999</v>
      </c>
      <c r="H84" s="162">
        <f t="shared" si="15"/>
        <v>141.14285714285714</v>
      </c>
    </row>
    <row r="85" spans="1:8" ht="21.75" customHeight="1">
      <c r="A85" s="193"/>
      <c r="B85" s="180" t="s">
        <v>178</v>
      </c>
      <c r="C85" s="160"/>
      <c r="D85" s="170">
        <v>23.3</v>
      </c>
      <c r="E85" s="170">
        <v>15</v>
      </c>
      <c r="F85" s="170">
        <v>29</v>
      </c>
      <c r="G85" s="171">
        <f t="shared" ref="G85:G103" si="23">F85-E85</f>
        <v>14</v>
      </c>
      <c r="H85" s="172">
        <f t="shared" ref="H85:H103" si="24">(F85/E85)*100</f>
        <v>193.33333333333334</v>
      </c>
    </row>
    <row r="86" spans="1:8">
      <c r="A86" s="166"/>
      <c r="B86" s="191" t="s">
        <v>154</v>
      </c>
      <c r="C86" s="166"/>
      <c r="D86" s="170">
        <v>7.2</v>
      </c>
      <c r="E86" s="170">
        <v>20</v>
      </c>
      <c r="F86" s="170">
        <v>20.399999999999999</v>
      </c>
      <c r="G86" s="171">
        <f t="shared" si="23"/>
        <v>0.39999999999999858</v>
      </c>
      <c r="H86" s="172">
        <f t="shared" si="24"/>
        <v>102</v>
      </c>
    </row>
    <row r="87" spans="1:8">
      <c r="A87" s="185" t="s">
        <v>90</v>
      </c>
      <c r="B87" s="186"/>
      <c r="C87" s="166">
        <v>1025</v>
      </c>
      <c r="D87" s="167">
        <f>SUM(D88:D91)</f>
        <v>16.2</v>
      </c>
      <c r="E87" s="167">
        <f>SUM(E88:E91)</f>
        <v>29.8</v>
      </c>
      <c r="F87" s="167">
        <f>SUM(F88:F91)</f>
        <v>10.4</v>
      </c>
      <c r="G87" s="162">
        <f t="shared" si="23"/>
        <v>-19.399999999999999</v>
      </c>
      <c r="H87" s="163">
        <f t="shared" si="24"/>
        <v>34.899328859060404</v>
      </c>
    </row>
    <row r="88" spans="1:8" ht="37.5">
      <c r="A88" s="166"/>
      <c r="B88" s="187" t="s">
        <v>179</v>
      </c>
      <c r="C88" s="166"/>
      <c r="D88" s="170"/>
      <c r="E88" s="170">
        <v>1</v>
      </c>
      <c r="F88" s="170"/>
      <c r="G88" s="171">
        <f t="shared" si="23"/>
        <v>-1</v>
      </c>
      <c r="H88" s="172">
        <f t="shared" si="24"/>
        <v>0</v>
      </c>
    </row>
    <row r="89" spans="1:8">
      <c r="A89" s="166"/>
      <c r="B89" s="180" t="s">
        <v>180</v>
      </c>
      <c r="C89" s="166"/>
      <c r="D89" s="170">
        <v>12.2</v>
      </c>
      <c r="E89" s="170">
        <v>10</v>
      </c>
      <c r="F89" s="170">
        <v>10.4</v>
      </c>
      <c r="G89" s="171">
        <f t="shared" si="23"/>
        <v>0.40000000000000036</v>
      </c>
      <c r="H89" s="172">
        <f t="shared" si="24"/>
        <v>104</v>
      </c>
    </row>
    <row r="90" spans="1:8" ht="19.5" customHeight="1">
      <c r="A90" s="191"/>
      <c r="B90" s="169" t="s">
        <v>185</v>
      </c>
      <c r="C90" s="160"/>
      <c r="D90" s="170">
        <v>4</v>
      </c>
      <c r="E90" s="170">
        <v>2</v>
      </c>
      <c r="F90" s="170"/>
      <c r="G90" s="171">
        <f t="shared" si="23"/>
        <v>-2</v>
      </c>
      <c r="H90" s="172">
        <f t="shared" si="24"/>
        <v>0</v>
      </c>
    </row>
    <row r="91" spans="1:8" ht="19.5" customHeight="1">
      <c r="A91" s="191"/>
      <c r="B91" s="169" t="s">
        <v>250</v>
      </c>
      <c r="C91" s="160"/>
      <c r="D91" s="170"/>
      <c r="E91" s="170">
        <v>16.8</v>
      </c>
      <c r="F91" s="170"/>
      <c r="G91" s="171">
        <f t="shared" si="23"/>
        <v>-16.8</v>
      </c>
      <c r="H91" s="172">
        <f t="shared" si="24"/>
        <v>0</v>
      </c>
    </row>
    <row r="92" spans="1:8">
      <c r="A92" s="164" t="s">
        <v>100</v>
      </c>
      <c r="B92" s="165"/>
      <c r="C92" s="166"/>
      <c r="D92" s="167"/>
      <c r="E92" s="167"/>
      <c r="F92" s="167"/>
      <c r="G92" s="171"/>
      <c r="H92" s="175" t="e">
        <f t="shared" si="24"/>
        <v>#DIV/0!</v>
      </c>
    </row>
    <row r="93" spans="1:8" ht="25.5" customHeight="1">
      <c r="A93" s="185" t="s">
        <v>147</v>
      </c>
      <c r="B93" s="186"/>
      <c r="C93" s="166">
        <v>1031</v>
      </c>
      <c r="D93" s="167">
        <f>SUM(D94:D109)</f>
        <v>1416.9</v>
      </c>
      <c r="E93" s="167">
        <f>SUM(E94:E109)</f>
        <v>2070</v>
      </c>
      <c r="F93" s="167">
        <f>SUM(F94:F109)</f>
        <v>1081.5</v>
      </c>
      <c r="G93" s="162">
        <f t="shared" si="23"/>
        <v>-988.5</v>
      </c>
      <c r="H93" s="194">
        <f t="shared" si="24"/>
        <v>52.24637681159421</v>
      </c>
    </row>
    <row r="94" spans="1:8" ht="75">
      <c r="A94" s="195"/>
      <c r="B94" s="180" t="s">
        <v>186</v>
      </c>
      <c r="C94" s="166"/>
      <c r="D94" s="170">
        <v>187.5</v>
      </c>
      <c r="E94" s="170">
        <v>2.5</v>
      </c>
      <c r="F94" s="170">
        <v>246.2</v>
      </c>
      <c r="G94" s="171">
        <f t="shared" si="23"/>
        <v>243.7</v>
      </c>
      <c r="H94" s="196">
        <f t="shared" si="24"/>
        <v>9847.9999999999982</v>
      </c>
    </row>
    <row r="95" spans="1:8" ht="23.25" customHeight="1">
      <c r="A95" s="195"/>
      <c r="B95" s="180" t="s">
        <v>331</v>
      </c>
      <c r="C95" s="166"/>
      <c r="D95" s="170"/>
      <c r="E95" s="170"/>
      <c r="F95" s="170">
        <v>0.2</v>
      </c>
      <c r="G95" s="171">
        <f t="shared" ref="G95:G98" si="25">F95-E95</f>
        <v>0.2</v>
      </c>
      <c r="H95" s="175" t="e">
        <f t="shared" ref="H95:H98" si="26">(F95/E95)*100</f>
        <v>#DIV/0!</v>
      </c>
    </row>
    <row r="96" spans="1:8" ht="22.5" customHeight="1">
      <c r="A96" s="195"/>
      <c r="B96" s="180" t="s">
        <v>328</v>
      </c>
      <c r="C96" s="166"/>
      <c r="D96" s="170"/>
      <c r="E96" s="170"/>
      <c r="F96" s="170">
        <v>18.100000000000001</v>
      </c>
      <c r="G96" s="171">
        <f t="shared" si="25"/>
        <v>18.100000000000001</v>
      </c>
      <c r="H96" s="175" t="e">
        <f t="shared" si="26"/>
        <v>#DIV/0!</v>
      </c>
    </row>
    <row r="97" spans="1:8" ht="23.25" customHeight="1">
      <c r="A97" s="195"/>
      <c r="B97" s="180" t="s">
        <v>157</v>
      </c>
      <c r="C97" s="166"/>
      <c r="D97" s="170"/>
      <c r="E97" s="170"/>
      <c r="F97" s="170">
        <v>0.1</v>
      </c>
      <c r="G97" s="171">
        <f t="shared" si="25"/>
        <v>0.1</v>
      </c>
      <c r="H97" s="175" t="e">
        <f t="shared" si="26"/>
        <v>#DIV/0!</v>
      </c>
    </row>
    <row r="98" spans="1:8" ht="37.5">
      <c r="A98" s="195"/>
      <c r="B98" s="180" t="s">
        <v>247</v>
      </c>
      <c r="C98" s="166"/>
      <c r="D98" s="170"/>
      <c r="E98" s="170">
        <v>1</v>
      </c>
      <c r="F98" s="170">
        <v>0.2</v>
      </c>
      <c r="G98" s="171">
        <f t="shared" si="25"/>
        <v>-0.8</v>
      </c>
      <c r="H98" s="196">
        <f t="shared" si="26"/>
        <v>20</v>
      </c>
    </row>
    <row r="99" spans="1:8" ht="37.5">
      <c r="A99" s="195"/>
      <c r="B99" s="180" t="s">
        <v>187</v>
      </c>
      <c r="C99" s="166"/>
      <c r="D99" s="170">
        <v>55.3</v>
      </c>
      <c r="E99" s="170"/>
      <c r="F99" s="170"/>
      <c r="G99" s="171">
        <f t="shared" si="23"/>
        <v>0</v>
      </c>
      <c r="H99" s="175" t="e">
        <f t="shared" si="24"/>
        <v>#DIV/0!</v>
      </c>
    </row>
    <row r="100" spans="1:8" ht="21.75" customHeight="1">
      <c r="A100" s="195"/>
      <c r="B100" s="197" t="s">
        <v>188</v>
      </c>
      <c r="C100" s="166"/>
      <c r="D100" s="170">
        <v>1173.7</v>
      </c>
      <c r="E100" s="170">
        <v>2000</v>
      </c>
      <c r="F100" s="170">
        <v>755.9</v>
      </c>
      <c r="G100" s="171">
        <f t="shared" si="23"/>
        <v>-1244.0999999999999</v>
      </c>
      <c r="H100" s="196">
        <f t="shared" si="24"/>
        <v>37.795000000000002</v>
      </c>
    </row>
    <row r="101" spans="1:8" ht="21" customHeight="1">
      <c r="A101" s="195"/>
      <c r="B101" s="197" t="s">
        <v>229</v>
      </c>
      <c r="C101" s="166"/>
      <c r="D101" s="170">
        <v>0.4</v>
      </c>
      <c r="E101" s="170">
        <v>5</v>
      </c>
      <c r="F101" s="170">
        <v>0.5</v>
      </c>
      <c r="G101" s="171">
        <f t="shared" si="23"/>
        <v>-4.5</v>
      </c>
      <c r="H101" s="196">
        <f t="shared" si="24"/>
        <v>10</v>
      </c>
    </row>
    <row r="102" spans="1:8" ht="39" customHeight="1">
      <c r="A102" s="195"/>
      <c r="B102" s="178" t="s">
        <v>275</v>
      </c>
      <c r="C102" s="166"/>
      <c r="D102" s="170"/>
      <c r="E102" s="170">
        <v>5</v>
      </c>
      <c r="F102" s="170"/>
      <c r="G102" s="171"/>
      <c r="H102" s="196"/>
    </row>
    <row r="103" spans="1:8">
      <c r="A103" s="198"/>
      <c r="B103" s="197" t="s">
        <v>190</v>
      </c>
      <c r="C103" s="166"/>
      <c r="D103" s="170"/>
      <c r="E103" s="170">
        <v>0.1</v>
      </c>
      <c r="F103" s="170"/>
      <c r="G103" s="171">
        <f t="shared" si="23"/>
        <v>-0.1</v>
      </c>
      <c r="H103" s="196">
        <f t="shared" si="24"/>
        <v>0</v>
      </c>
    </row>
    <row r="104" spans="1:8">
      <c r="A104" s="198"/>
      <c r="B104" s="199" t="s">
        <v>158</v>
      </c>
      <c r="C104" s="166"/>
      <c r="D104" s="170"/>
      <c r="E104" s="170">
        <v>45</v>
      </c>
      <c r="F104" s="170">
        <v>40.799999999999997</v>
      </c>
      <c r="G104" s="171">
        <f t="shared" ref="G104:G107" si="27">F104-E104</f>
        <v>-4.2000000000000028</v>
      </c>
      <c r="H104" s="196">
        <f t="shared" ref="H104:H107" si="28">(F104/E104)*100</f>
        <v>90.666666666666657</v>
      </c>
    </row>
    <row r="105" spans="1:8">
      <c r="A105" s="198"/>
      <c r="B105" s="199" t="s">
        <v>159</v>
      </c>
      <c r="C105" s="166"/>
      <c r="D105" s="170"/>
      <c r="E105" s="170">
        <v>0.5</v>
      </c>
      <c r="F105" s="170">
        <v>2</v>
      </c>
      <c r="G105" s="171">
        <f t="shared" si="27"/>
        <v>1.5</v>
      </c>
      <c r="H105" s="196">
        <f t="shared" si="28"/>
        <v>400</v>
      </c>
    </row>
    <row r="106" spans="1:8">
      <c r="A106" s="198"/>
      <c r="B106" s="199" t="s">
        <v>160</v>
      </c>
      <c r="C106" s="166"/>
      <c r="D106" s="170"/>
      <c r="E106" s="170">
        <v>10</v>
      </c>
      <c r="F106" s="170">
        <v>13.5</v>
      </c>
      <c r="G106" s="171">
        <f t="shared" si="27"/>
        <v>3.5</v>
      </c>
      <c r="H106" s="196">
        <f t="shared" si="28"/>
        <v>135</v>
      </c>
    </row>
    <row r="107" spans="1:8">
      <c r="A107" s="198"/>
      <c r="B107" s="199" t="s">
        <v>162</v>
      </c>
      <c r="C107" s="166"/>
      <c r="D107" s="170"/>
      <c r="E107" s="170">
        <v>0.9</v>
      </c>
      <c r="F107" s="170">
        <v>0.7</v>
      </c>
      <c r="G107" s="171">
        <f t="shared" si="27"/>
        <v>-0.20000000000000007</v>
      </c>
      <c r="H107" s="196">
        <f t="shared" si="28"/>
        <v>77.777777777777771</v>
      </c>
    </row>
    <row r="108" spans="1:8">
      <c r="A108" s="198"/>
      <c r="B108" s="199" t="s">
        <v>330</v>
      </c>
      <c r="C108" s="166"/>
      <c r="D108" s="170"/>
      <c r="E108" s="170"/>
      <c r="F108" s="170">
        <v>0.2</v>
      </c>
      <c r="G108" s="171">
        <f t="shared" ref="G108:G122" si="29">F108-E108</f>
        <v>0.2</v>
      </c>
      <c r="H108" s="175" t="e">
        <f t="shared" ref="H108:H122" si="30">(F108/E108)*100</f>
        <v>#DIV/0!</v>
      </c>
    </row>
    <row r="109" spans="1:8">
      <c r="A109" s="198"/>
      <c r="B109" s="199" t="s">
        <v>178</v>
      </c>
      <c r="C109" s="166"/>
      <c r="D109" s="170"/>
      <c r="E109" s="170"/>
      <c r="F109" s="170">
        <v>3.1</v>
      </c>
      <c r="G109" s="171">
        <f t="shared" si="29"/>
        <v>3.1</v>
      </c>
      <c r="H109" s="175" t="e">
        <f t="shared" si="30"/>
        <v>#DIV/0!</v>
      </c>
    </row>
    <row r="110" spans="1:8" ht="26.25" customHeight="1">
      <c r="A110" s="185" t="s">
        <v>100</v>
      </c>
      <c r="B110" s="186"/>
      <c r="C110" s="166">
        <v>1035</v>
      </c>
      <c r="D110" s="167">
        <f>SUM(D111:D122)</f>
        <v>288.39999999999998</v>
      </c>
      <c r="E110" s="167">
        <f>SUM(E111:E122)</f>
        <v>195.39999999999998</v>
      </c>
      <c r="F110" s="167">
        <f>SUM(F111:F122)</f>
        <v>223.59999999999997</v>
      </c>
      <c r="G110" s="162">
        <f t="shared" si="29"/>
        <v>28.199999999999989</v>
      </c>
      <c r="H110" s="194">
        <f t="shared" si="30"/>
        <v>114.43193449334699</v>
      </c>
    </row>
    <row r="111" spans="1:8" hidden="1">
      <c r="A111" s="195"/>
      <c r="B111" s="169" t="s">
        <v>191</v>
      </c>
      <c r="C111" s="166"/>
      <c r="D111" s="167"/>
      <c r="E111" s="170"/>
      <c r="F111" s="167"/>
      <c r="G111" s="171">
        <f t="shared" si="29"/>
        <v>0</v>
      </c>
      <c r="H111" s="194" t="e">
        <f t="shared" si="30"/>
        <v>#DIV/0!</v>
      </c>
    </row>
    <row r="112" spans="1:8">
      <c r="A112" s="195"/>
      <c r="B112" s="169" t="s">
        <v>268</v>
      </c>
      <c r="C112" s="166"/>
      <c r="D112" s="170">
        <v>6.4</v>
      </c>
      <c r="E112" s="170">
        <v>8</v>
      </c>
      <c r="F112" s="170">
        <v>9.6</v>
      </c>
      <c r="G112" s="171">
        <f t="shared" si="29"/>
        <v>1.5999999999999996</v>
      </c>
      <c r="H112" s="174">
        <f t="shared" si="30"/>
        <v>120</v>
      </c>
    </row>
    <row r="113" spans="1:9">
      <c r="A113" s="195"/>
      <c r="B113" s="169" t="s">
        <v>192</v>
      </c>
      <c r="C113" s="166"/>
      <c r="D113" s="170">
        <v>4.5999999999999996</v>
      </c>
      <c r="E113" s="170">
        <v>4.5999999999999996</v>
      </c>
      <c r="F113" s="170">
        <v>4.5999999999999996</v>
      </c>
      <c r="G113" s="171">
        <f t="shared" si="29"/>
        <v>0</v>
      </c>
      <c r="H113" s="174">
        <f t="shared" si="30"/>
        <v>100</v>
      </c>
    </row>
    <row r="114" spans="1:9">
      <c r="A114" s="195"/>
      <c r="B114" s="169" t="s">
        <v>193</v>
      </c>
      <c r="C114" s="166"/>
      <c r="D114" s="170">
        <v>1.2</v>
      </c>
      <c r="E114" s="170">
        <v>1.1000000000000001</v>
      </c>
      <c r="F114" s="170">
        <v>1.6</v>
      </c>
      <c r="G114" s="171">
        <f t="shared" si="29"/>
        <v>0.5</v>
      </c>
      <c r="H114" s="174">
        <f t="shared" si="30"/>
        <v>145.45454545454547</v>
      </c>
    </row>
    <row r="115" spans="1:9" ht="37.5">
      <c r="A115" s="195"/>
      <c r="B115" s="169" t="s">
        <v>311</v>
      </c>
      <c r="C115" s="166"/>
      <c r="D115" s="170">
        <v>6.6</v>
      </c>
      <c r="E115" s="170"/>
      <c r="F115" s="170">
        <v>5.6</v>
      </c>
      <c r="G115" s="171">
        <f t="shared" si="29"/>
        <v>5.6</v>
      </c>
      <c r="H115" s="175" t="e">
        <f t="shared" si="30"/>
        <v>#DIV/0!</v>
      </c>
    </row>
    <row r="116" spans="1:9">
      <c r="A116" s="195"/>
      <c r="B116" s="180" t="s">
        <v>335</v>
      </c>
      <c r="C116" s="166"/>
      <c r="D116" s="170"/>
      <c r="E116" s="170"/>
      <c r="F116" s="170">
        <v>9.3000000000000007</v>
      </c>
      <c r="G116" s="171">
        <f t="shared" si="29"/>
        <v>9.3000000000000007</v>
      </c>
      <c r="H116" s="175" t="e">
        <f t="shared" si="30"/>
        <v>#DIV/0!</v>
      </c>
    </row>
    <row r="117" spans="1:9">
      <c r="A117" s="166"/>
      <c r="B117" s="200" t="s">
        <v>276</v>
      </c>
      <c r="C117" s="166"/>
      <c r="D117" s="170">
        <v>20.9</v>
      </c>
      <c r="E117" s="170"/>
      <c r="F117" s="170"/>
      <c r="G117" s="171">
        <f t="shared" si="29"/>
        <v>0</v>
      </c>
      <c r="H117" s="175" t="e">
        <f t="shared" si="30"/>
        <v>#DIV/0!</v>
      </c>
    </row>
    <row r="118" spans="1:9">
      <c r="A118" s="166"/>
      <c r="B118" s="201" t="s">
        <v>195</v>
      </c>
      <c r="C118" s="166"/>
      <c r="D118" s="170"/>
      <c r="E118" s="170"/>
      <c r="F118" s="170">
        <v>9.9</v>
      </c>
      <c r="G118" s="171">
        <f t="shared" si="29"/>
        <v>9.9</v>
      </c>
      <c r="H118" s="175" t="e">
        <f t="shared" si="30"/>
        <v>#DIV/0!</v>
      </c>
    </row>
    <row r="119" spans="1:9" ht="68.25" customHeight="1">
      <c r="A119" s="166"/>
      <c r="B119" s="187" t="s">
        <v>197</v>
      </c>
      <c r="C119" s="166"/>
      <c r="D119" s="170">
        <v>25.3</v>
      </c>
      <c r="E119" s="170"/>
      <c r="F119" s="170"/>
      <c r="G119" s="171">
        <f t="shared" si="29"/>
        <v>0</v>
      </c>
      <c r="H119" s="175" t="e">
        <f t="shared" si="30"/>
        <v>#DIV/0!</v>
      </c>
    </row>
    <row r="120" spans="1:9" ht="37.5">
      <c r="A120" s="166"/>
      <c r="B120" s="169" t="s">
        <v>198</v>
      </c>
      <c r="C120" s="166"/>
      <c r="D120" s="170">
        <v>200.9</v>
      </c>
      <c r="E120" s="170">
        <v>156.69999999999999</v>
      </c>
      <c r="F120" s="170">
        <v>156.69999999999999</v>
      </c>
      <c r="G120" s="171">
        <f t="shared" si="29"/>
        <v>0</v>
      </c>
      <c r="H120" s="174">
        <f t="shared" si="30"/>
        <v>100</v>
      </c>
    </row>
    <row r="121" spans="1:9" ht="22.5" customHeight="1">
      <c r="A121" s="166"/>
      <c r="B121" s="169" t="s">
        <v>52</v>
      </c>
      <c r="C121" s="166"/>
      <c r="D121" s="170">
        <v>22.5</v>
      </c>
      <c r="E121" s="170">
        <v>25</v>
      </c>
      <c r="F121" s="170">
        <v>25.1</v>
      </c>
      <c r="G121" s="171">
        <f t="shared" si="29"/>
        <v>0.10000000000000142</v>
      </c>
      <c r="H121" s="174">
        <f t="shared" si="30"/>
        <v>100.4</v>
      </c>
    </row>
    <row r="122" spans="1:9" ht="23.25" customHeight="1">
      <c r="A122" s="166"/>
      <c r="B122" s="169" t="s">
        <v>333</v>
      </c>
      <c r="C122" s="166"/>
      <c r="D122" s="170"/>
      <c r="E122" s="170"/>
      <c r="F122" s="170">
        <v>1.2</v>
      </c>
      <c r="G122" s="171">
        <f t="shared" si="29"/>
        <v>1.2</v>
      </c>
      <c r="H122" s="175" t="e">
        <f t="shared" si="30"/>
        <v>#DIV/0!</v>
      </c>
    </row>
    <row r="123" spans="1:9">
      <c r="A123" s="202"/>
      <c r="B123" s="203"/>
      <c r="C123" s="202"/>
      <c r="D123" s="204"/>
      <c r="E123" s="204"/>
      <c r="F123" s="204"/>
      <c r="G123" s="205"/>
      <c r="H123" s="206" t="e">
        <f t="shared" ref="H123" si="31">(F123/E123)*100</f>
        <v>#DIV/0!</v>
      </c>
    </row>
    <row r="124" spans="1:9" ht="26.25">
      <c r="A124" s="202"/>
      <c r="B124" s="207" t="s">
        <v>238</v>
      </c>
      <c r="C124" s="208"/>
      <c r="D124" s="209"/>
      <c r="E124" s="210"/>
      <c r="F124" s="211"/>
      <c r="G124" s="212" t="s">
        <v>279</v>
      </c>
      <c r="H124" s="212"/>
      <c r="I124" s="144"/>
    </row>
    <row r="125" spans="1:9" ht="20.25">
      <c r="A125" s="202"/>
      <c r="B125" s="145" t="s">
        <v>10</v>
      </c>
      <c r="C125" s="144"/>
      <c r="D125" s="146" t="s">
        <v>11</v>
      </c>
      <c r="E125" s="146"/>
      <c r="F125" s="213"/>
      <c r="G125" s="147" t="s">
        <v>272</v>
      </c>
      <c r="H125" s="147"/>
      <c r="I125" s="144"/>
    </row>
    <row r="126" spans="1:9">
      <c r="A126" s="202"/>
      <c r="B126" s="214"/>
      <c r="C126" s="202"/>
      <c r="D126" s="204"/>
      <c r="E126" s="204"/>
      <c r="F126" s="204"/>
      <c r="G126" s="205"/>
      <c r="H126" s="206"/>
    </row>
    <row r="127" spans="1:9">
      <c r="B127" s="215"/>
    </row>
    <row r="128" spans="1:9">
      <c r="B128" s="215"/>
    </row>
    <row r="129" spans="2:2">
      <c r="B129" s="215"/>
    </row>
    <row r="130" spans="2:2">
      <c r="B130" s="215"/>
    </row>
    <row r="131" spans="2:2">
      <c r="B131" s="215"/>
    </row>
    <row r="132" spans="2:2">
      <c r="B132" s="215"/>
    </row>
    <row r="133" spans="2:2">
      <c r="B133" s="215"/>
    </row>
    <row r="134" spans="2:2">
      <c r="B134" s="215"/>
    </row>
    <row r="135" spans="2:2">
      <c r="B135" s="215"/>
    </row>
    <row r="136" spans="2:2">
      <c r="B136" s="215"/>
    </row>
    <row r="137" spans="2:2">
      <c r="B137" s="215"/>
    </row>
    <row r="138" spans="2:2">
      <c r="B138" s="215"/>
    </row>
    <row r="139" spans="2:2">
      <c r="B139" s="215"/>
    </row>
    <row r="140" spans="2:2">
      <c r="B140" s="215"/>
    </row>
    <row r="141" spans="2:2">
      <c r="B141" s="215"/>
    </row>
    <row r="142" spans="2:2">
      <c r="B142" s="215"/>
    </row>
    <row r="143" spans="2:2">
      <c r="B143" s="215"/>
    </row>
    <row r="144" spans="2:2">
      <c r="B144" s="215"/>
    </row>
    <row r="145" spans="2:2">
      <c r="B145" s="215"/>
    </row>
    <row r="146" spans="2:2">
      <c r="B146" s="215"/>
    </row>
    <row r="147" spans="2:2">
      <c r="B147" s="215"/>
    </row>
    <row r="148" spans="2:2">
      <c r="B148" s="215"/>
    </row>
    <row r="149" spans="2:2">
      <c r="B149" s="215"/>
    </row>
    <row r="150" spans="2:2">
      <c r="B150" s="215"/>
    </row>
    <row r="151" spans="2:2">
      <c r="B151" s="215"/>
    </row>
    <row r="152" spans="2:2">
      <c r="B152" s="215"/>
    </row>
    <row r="153" spans="2:2">
      <c r="B153" s="215"/>
    </row>
    <row r="154" spans="2:2">
      <c r="B154" s="215"/>
    </row>
    <row r="155" spans="2:2">
      <c r="B155" s="215"/>
    </row>
    <row r="156" spans="2:2">
      <c r="B156" s="215"/>
    </row>
    <row r="157" spans="2:2">
      <c r="B157" s="215"/>
    </row>
    <row r="158" spans="2:2">
      <c r="B158" s="215"/>
    </row>
    <row r="159" spans="2:2">
      <c r="B159" s="215"/>
    </row>
    <row r="160" spans="2:2">
      <c r="B160" s="215"/>
    </row>
    <row r="161" spans="2:2">
      <c r="B161" s="215"/>
    </row>
    <row r="162" spans="2:2">
      <c r="B162" s="215"/>
    </row>
    <row r="163" spans="2:2">
      <c r="B163" s="215"/>
    </row>
    <row r="164" spans="2:2">
      <c r="B164" s="215"/>
    </row>
    <row r="165" spans="2:2">
      <c r="B165" s="215"/>
    </row>
    <row r="166" spans="2:2">
      <c r="B166" s="215"/>
    </row>
    <row r="167" spans="2:2">
      <c r="B167" s="215"/>
    </row>
    <row r="168" spans="2:2">
      <c r="B168" s="215"/>
    </row>
    <row r="169" spans="2:2">
      <c r="B169" s="215"/>
    </row>
    <row r="170" spans="2:2">
      <c r="B170" s="215"/>
    </row>
    <row r="171" spans="2:2">
      <c r="B171" s="215"/>
    </row>
    <row r="172" spans="2:2">
      <c r="B172" s="215"/>
    </row>
    <row r="173" spans="2:2">
      <c r="B173" s="215"/>
    </row>
    <row r="174" spans="2:2">
      <c r="B174" s="215"/>
    </row>
    <row r="175" spans="2:2">
      <c r="B175" s="215"/>
    </row>
    <row r="176" spans="2:2">
      <c r="B176" s="215"/>
    </row>
    <row r="177" spans="2:2">
      <c r="B177" s="215"/>
    </row>
    <row r="178" spans="2:2">
      <c r="B178" s="215"/>
    </row>
    <row r="179" spans="2:2">
      <c r="B179" s="215"/>
    </row>
    <row r="180" spans="2:2">
      <c r="B180" s="215"/>
    </row>
    <row r="181" spans="2:2">
      <c r="B181" s="215"/>
    </row>
    <row r="182" spans="2:2">
      <c r="B182" s="215"/>
    </row>
    <row r="183" spans="2:2">
      <c r="B183" s="215"/>
    </row>
    <row r="184" spans="2:2">
      <c r="B184" s="215"/>
    </row>
    <row r="185" spans="2:2">
      <c r="B185" s="215"/>
    </row>
    <row r="186" spans="2:2">
      <c r="B186" s="215"/>
    </row>
    <row r="187" spans="2:2">
      <c r="B187" s="215"/>
    </row>
    <row r="188" spans="2:2">
      <c r="B188" s="215"/>
    </row>
    <row r="189" spans="2:2">
      <c r="B189" s="215"/>
    </row>
    <row r="190" spans="2:2">
      <c r="B190" s="215"/>
    </row>
    <row r="191" spans="2:2">
      <c r="B191" s="215"/>
    </row>
    <row r="192" spans="2:2">
      <c r="B192" s="215"/>
    </row>
    <row r="193" spans="2:2">
      <c r="B193" s="215"/>
    </row>
    <row r="194" spans="2:2">
      <c r="B194" s="215"/>
    </row>
    <row r="195" spans="2:2">
      <c r="B195" s="215"/>
    </row>
    <row r="196" spans="2:2">
      <c r="B196" s="215"/>
    </row>
    <row r="197" spans="2:2">
      <c r="B197" s="215"/>
    </row>
  </sheetData>
  <mergeCells count="20">
    <mergeCell ref="A27:B27"/>
    <mergeCell ref="A93:B93"/>
    <mergeCell ref="A110:B110"/>
    <mergeCell ref="A60:B60"/>
    <mergeCell ref="A83:B83"/>
    <mergeCell ref="A84:B84"/>
    <mergeCell ref="A87:B87"/>
    <mergeCell ref="A92:B92"/>
    <mergeCell ref="B2:F2"/>
    <mergeCell ref="A21:B21"/>
    <mergeCell ref="A23:B23"/>
    <mergeCell ref="A6:B6"/>
    <mergeCell ref="A7:B7"/>
    <mergeCell ref="A11:B11"/>
    <mergeCell ref="D124:E124"/>
    <mergeCell ref="G124:H124"/>
    <mergeCell ref="D125:E125"/>
    <mergeCell ref="A28:B28"/>
    <mergeCell ref="A29:B29"/>
    <mergeCell ref="G125:H125"/>
  </mergeCells>
  <pageMargins left="0.39370078740157483" right="0.39370078740157483" top="0.59055118110236227" bottom="0.39370078740157483" header="0.31496062992125984" footer="0.31496062992125984"/>
  <pageSetup paperSize="9" scale="90" fitToHeight="7" orientation="landscape" r:id="rId1"/>
  <rowBreaks count="1" manualBreakCount="1">
    <brk id="8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Q242"/>
  <sheetViews>
    <sheetView view="pageBreakPreview" topLeftCell="A161" zoomScale="70" zoomScaleNormal="70" zoomScaleSheetLayoutView="70" workbookViewId="0">
      <selection activeCell="A161" sqref="A1:XFD1048576"/>
    </sheetView>
  </sheetViews>
  <sheetFormatPr defaultRowHeight="18.75"/>
  <cols>
    <col min="1" max="1" width="9.140625" style="149"/>
    <col min="2" max="2" width="106.140625" style="149" customWidth="1"/>
    <col min="3" max="3" width="14.140625" style="216" customWidth="1"/>
    <col min="4" max="4" width="17.140625" style="216" customWidth="1"/>
    <col min="5" max="5" width="18" style="216" customWidth="1"/>
    <col min="6" max="6" width="16.140625" style="216" customWidth="1"/>
    <col min="7" max="7" width="16.140625" style="149" customWidth="1"/>
    <col min="8" max="8" width="16.42578125" style="149" customWidth="1"/>
    <col min="9" max="9" width="9.140625" style="149"/>
    <col min="10" max="11" width="14.5703125" style="149" bestFit="1" customWidth="1"/>
    <col min="12" max="12" width="15.7109375" style="149" customWidth="1"/>
    <col min="13" max="13" width="18.42578125" style="149" customWidth="1"/>
    <col min="14" max="14" width="18.7109375" style="149" customWidth="1"/>
    <col min="15" max="15" width="9.140625" style="149"/>
    <col min="16" max="17" width="14.5703125" style="149" bestFit="1" customWidth="1"/>
    <col min="18" max="16384" width="9.140625" style="149"/>
  </cols>
  <sheetData>
    <row r="1" spans="1:16" ht="24.75" customHeight="1">
      <c r="B1" s="217" t="s">
        <v>127</v>
      </c>
      <c r="C1" s="217"/>
      <c r="D1" s="217"/>
      <c r="E1" s="217"/>
      <c r="F1" s="217"/>
      <c r="G1" s="217"/>
      <c r="H1" s="217"/>
    </row>
    <row r="2" spans="1:16">
      <c r="B2" s="151"/>
      <c r="C2" s="152"/>
      <c r="D2" s="151"/>
      <c r="E2" s="151"/>
      <c r="F2" s="151"/>
      <c r="H2" s="149" t="s">
        <v>72</v>
      </c>
    </row>
    <row r="3" spans="1:16" ht="71.25" customHeight="1">
      <c r="A3" s="153" t="s">
        <v>85</v>
      </c>
      <c r="B3" s="153" t="s">
        <v>23</v>
      </c>
      <c r="C3" s="154" t="s">
        <v>5</v>
      </c>
      <c r="D3" s="155" t="s">
        <v>309</v>
      </c>
      <c r="E3" s="155" t="s">
        <v>325</v>
      </c>
      <c r="F3" s="155" t="s">
        <v>326</v>
      </c>
      <c r="G3" s="156" t="s">
        <v>117</v>
      </c>
      <c r="H3" s="156" t="s">
        <v>120</v>
      </c>
    </row>
    <row r="4" spans="1:16" ht="30.75" customHeight="1">
      <c r="A4" s="157">
        <v>1</v>
      </c>
      <c r="B4" s="157">
        <v>2</v>
      </c>
      <c r="C4" s="156">
        <v>3</v>
      </c>
      <c r="D4" s="156">
        <v>4</v>
      </c>
      <c r="E4" s="156">
        <v>5</v>
      </c>
      <c r="F4" s="156">
        <v>6</v>
      </c>
      <c r="G4" s="157">
        <v>7</v>
      </c>
      <c r="H4" s="157">
        <v>8</v>
      </c>
    </row>
    <row r="5" spans="1:16" ht="30.75" customHeight="1">
      <c r="A5" s="218" t="s">
        <v>91</v>
      </c>
      <c r="B5" s="218"/>
      <c r="C5" s="160"/>
      <c r="D5" s="161">
        <f>SUM(D6,D77,D96,D111,D121,D136,D150,D164,D172,D183,D187,D194,D211)</f>
        <v>17209.399999999998</v>
      </c>
      <c r="E5" s="161">
        <f>SUM(E6,E77,E96,E111,E121,E136,E150,E164,E172,E183,E187,E194,E211)</f>
        <v>17411.400000000001</v>
      </c>
      <c r="F5" s="161">
        <f>SUM(F6,F77,F96,F111,F121,F136,F150,F164,F172,F183,F187,F194,F211)</f>
        <v>16270.8</v>
      </c>
      <c r="G5" s="162">
        <f>F5-E5</f>
        <v>-1140.6000000000022</v>
      </c>
      <c r="H5" s="219">
        <f t="shared" ref="H5:H8" si="0">(F5/E5)*100</f>
        <v>93.449119542368791</v>
      </c>
      <c r="I5" s="220"/>
    </row>
    <row r="6" spans="1:16" ht="29.25" customHeight="1">
      <c r="A6" s="166" t="s">
        <v>92</v>
      </c>
      <c r="B6" s="221" t="s">
        <v>264</v>
      </c>
      <c r="C6" s="160"/>
      <c r="D6" s="167">
        <f>SUM(D8,D53,D65)</f>
        <v>12413.699999999999</v>
      </c>
      <c r="E6" s="167">
        <f>SUM(E8,E53,E65)</f>
        <v>12773.599999999999</v>
      </c>
      <c r="F6" s="167">
        <f>SUM(F8,F53,F65)</f>
        <v>12192.6</v>
      </c>
      <c r="G6" s="162">
        <f t="shared" ref="G6:G8" si="1">F6-E6</f>
        <v>-580.99999999999818</v>
      </c>
      <c r="H6" s="219">
        <f t="shared" si="0"/>
        <v>95.451556334940832</v>
      </c>
      <c r="I6" s="220"/>
    </row>
    <row r="7" spans="1:16" ht="24.75" customHeight="1">
      <c r="A7" s="168"/>
      <c r="B7" s="222" t="s">
        <v>93</v>
      </c>
      <c r="C7" s="160"/>
      <c r="D7" s="170"/>
      <c r="E7" s="170"/>
      <c r="F7" s="170"/>
      <c r="G7" s="161"/>
      <c r="H7" s="223"/>
      <c r="I7" s="220"/>
      <c r="L7" s="224">
        <f>L9+L16+L23</f>
        <v>17209.400000000001</v>
      </c>
      <c r="M7" s="224">
        <f t="shared" ref="M7:N7" si="2">M9+M16+M23</f>
        <v>17411.399999999998</v>
      </c>
      <c r="N7" s="224">
        <f t="shared" si="2"/>
        <v>16270.799999999996</v>
      </c>
    </row>
    <row r="8" spans="1:16" ht="29.25" customHeight="1">
      <c r="A8" s="225" t="s">
        <v>94</v>
      </c>
      <c r="B8" s="193" t="s">
        <v>97</v>
      </c>
      <c r="C8" s="166">
        <v>1010</v>
      </c>
      <c r="D8" s="167">
        <f>D27+D28+D30+D9+D29</f>
        <v>9122.5999999999985</v>
      </c>
      <c r="E8" s="167">
        <f>E9+E27+E28+E29+E30</f>
        <v>9363.2999999999993</v>
      </c>
      <c r="F8" s="167">
        <f>F27+F28+F30+F9+F29</f>
        <v>8655.1</v>
      </c>
      <c r="G8" s="167">
        <f t="shared" si="1"/>
        <v>-708.19999999999891</v>
      </c>
      <c r="H8" s="219">
        <f t="shared" si="0"/>
        <v>92.436427327971984</v>
      </c>
      <c r="I8" s="220"/>
      <c r="L8" s="226"/>
      <c r="M8" s="226"/>
      <c r="N8" s="226"/>
    </row>
    <row r="9" spans="1:16" ht="27" customHeight="1">
      <c r="A9" s="227" t="s">
        <v>199</v>
      </c>
      <c r="B9" s="228" t="s">
        <v>261</v>
      </c>
      <c r="C9" s="229">
        <v>1011</v>
      </c>
      <c r="D9" s="230">
        <f>SUM(D10:D26)</f>
        <v>540.79999999999995</v>
      </c>
      <c r="E9" s="230">
        <f>SUM(E10:E26)</f>
        <v>506.6</v>
      </c>
      <c r="F9" s="230">
        <f>SUM(F10:F26)</f>
        <v>459.40000000000003</v>
      </c>
      <c r="G9" s="230">
        <f>F9-E9</f>
        <v>-47.199999999999989</v>
      </c>
      <c r="H9" s="231">
        <f>(F9/E9)*100</f>
        <v>90.682984603237273</v>
      </c>
      <c r="I9" s="220"/>
      <c r="K9" s="183">
        <v>1010</v>
      </c>
      <c r="L9" s="224">
        <f>SUM(D8,D79,D98,D113,D123,D138,D152,D174,D185,D189,D196)</f>
        <v>12214.599999999999</v>
      </c>
      <c r="M9" s="224">
        <f>SUM(E8,E79,E98,E113,E123,E138,E152,E174,E185,E189,E196)</f>
        <v>11744.3</v>
      </c>
      <c r="N9" s="224">
        <f>SUM(F8,F79,F98,F113,F123,F138,F152,F174,F185,F189,F196)</f>
        <v>11466.799999999997</v>
      </c>
    </row>
    <row r="10" spans="1:16" ht="25.5" customHeight="1">
      <c r="A10" s="232"/>
      <c r="B10" s="187" t="s">
        <v>219</v>
      </c>
      <c r="C10" s="187"/>
      <c r="D10" s="170">
        <v>9.3000000000000007</v>
      </c>
      <c r="E10" s="170">
        <v>25</v>
      </c>
      <c r="F10" s="170">
        <v>11.8</v>
      </c>
      <c r="G10" s="170">
        <f t="shared" ref="G10" si="3">F10-E10</f>
        <v>-13.2</v>
      </c>
      <c r="H10" s="223">
        <f t="shared" ref="H10" si="4">(F10/E10)*100</f>
        <v>47.2</v>
      </c>
      <c r="I10" s="220"/>
      <c r="K10" s="183">
        <v>1011</v>
      </c>
      <c r="L10" s="233">
        <f>SUM(D9,D80,D99,D114,D124,D139,D153,D197)</f>
        <v>3039.9</v>
      </c>
      <c r="M10" s="233">
        <f>SUM(E9,E80,E99,E114,E124,E139,E153,E197)</f>
        <v>2315.6000000000004</v>
      </c>
      <c r="N10" s="233">
        <f>SUM(F9,F80,F99,F114,F124,F139,F153,F197)</f>
        <v>2685.7</v>
      </c>
      <c r="P10" s="234"/>
    </row>
    <row r="11" spans="1:16" ht="24.75" customHeight="1">
      <c r="A11" s="232"/>
      <c r="B11" s="187" t="s">
        <v>148</v>
      </c>
      <c r="C11" s="187"/>
      <c r="D11" s="170">
        <v>9.1</v>
      </c>
      <c r="E11" s="170">
        <v>20</v>
      </c>
      <c r="F11" s="170">
        <v>16.100000000000001</v>
      </c>
      <c r="G11" s="170">
        <f t="shared" ref="G11:G74" si="5">F11-E11</f>
        <v>-3.8999999999999986</v>
      </c>
      <c r="H11" s="223">
        <f t="shared" ref="H11:H74" si="6">(F11/E11)*100</f>
        <v>80.5</v>
      </c>
      <c r="I11" s="220"/>
      <c r="K11" s="183">
        <v>1012</v>
      </c>
      <c r="L11" s="233">
        <f>SUM(D27,D207)</f>
        <v>7069.2</v>
      </c>
      <c r="M11" s="233">
        <f>SUM(E27,E207)</f>
        <v>7125.5</v>
      </c>
      <c r="N11" s="233">
        <f>SUM(F27,F207)</f>
        <v>6786.0999999999995</v>
      </c>
    </row>
    <row r="12" spans="1:16" ht="23.25" customHeight="1">
      <c r="A12" s="232"/>
      <c r="B12" s="187" t="s">
        <v>251</v>
      </c>
      <c r="C12" s="187"/>
      <c r="D12" s="170">
        <v>60.1</v>
      </c>
      <c r="E12" s="170">
        <v>50</v>
      </c>
      <c r="F12" s="170">
        <v>12.2</v>
      </c>
      <c r="G12" s="170">
        <f t="shared" si="5"/>
        <v>-37.799999999999997</v>
      </c>
      <c r="H12" s="223">
        <f t="shared" si="6"/>
        <v>24.4</v>
      </c>
      <c r="I12" s="220"/>
      <c r="K12" s="183">
        <v>1013</v>
      </c>
      <c r="L12" s="233">
        <f>SUM(D28,D208,D175)</f>
        <v>1476.8</v>
      </c>
      <c r="M12" s="233">
        <f>SUM(E28,E208)</f>
        <v>1512.6</v>
      </c>
      <c r="N12" s="233">
        <f>SUM(F28,F208)</f>
        <v>1377.6</v>
      </c>
    </row>
    <row r="13" spans="1:16" ht="23.25" customHeight="1">
      <c r="A13" s="232"/>
      <c r="B13" s="187" t="s">
        <v>252</v>
      </c>
      <c r="C13" s="187"/>
      <c r="D13" s="170">
        <v>267.89999999999998</v>
      </c>
      <c r="E13" s="170">
        <v>200</v>
      </c>
      <c r="F13" s="170">
        <v>236.7</v>
      </c>
      <c r="G13" s="170">
        <f t="shared" si="5"/>
        <v>36.699999999999989</v>
      </c>
      <c r="H13" s="223">
        <f t="shared" si="6"/>
        <v>118.35</v>
      </c>
      <c r="I13" s="220"/>
      <c r="K13" s="183">
        <v>1014</v>
      </c>
      <c r="L13" s="233">
        <f>SUM(D29,D159,D186,D190,)</f>
        <v>480.30000000000007</v>
      </c>
      <c r="M13" s="233">
        <f>SUM(E29,E159,E186,E190,)</f>
        <v>495</v>
      </c>
      <c r="N13" s="233">
        <f>SUM(F29,F159,F186,F190,)</f>
        <v>483.6</v>
      </c>
    </row>
    <row r="14" spans="1:16" ht="23.25" customHeight="1">
      <c r="A14" s="232"/>
      <c r="B14" s="187" t="s">
        <v>149</v>
      </c>
      <c r="C14" s="187"/>
      <c r="D14" s="170">
        <v>54.9</v>
      </c>
      <c r="E14" s="170">
        <v>20</v>
      </c>
      <c r="F14" s="170">
        <v>48.3</v>
      </c>
      <c r="G14" s="170">
        <f t="shared" si="5"/>
        <v>28.299999999999997</v>
      </c>
      <c r="H14" s="223">
        <f t="shared" si="6"/>
        <v>241.5</v>
      </c>
      <c r="I14" s="220"/>
      <c r="K14" s="183">
        <v>1015</v>
      </c>
      <c r="L14" s="233">
        <f>SUM(D30,D86,D106,D176,D209)</f>
        <v>148.39999999999998</v>
      </c>
      <c r="M14" s="233">
        <f>SUM(E30,E86,E106,E176,E209)</f>
        <v>295.59999999999997</v>
      </c>
      <c r="N14" s="233">
        <f>SUM(F30,F86,F106,F176,F209)</f>
        <v>133.80000000000001</v>
      </c>
      <c r="O14" s="224"/>
    </row>
    <row r="15" spans="1:16" ht="25.5" customHeight="1">
      <c r="A15" s="232"/>
      <c r="B15" s="191" t="s">
        <v>150</v>
      </c>
      <c r="C15" s="187"/>
      <c r="D15" s="170">
        <v>23.1</v>
      </c>
      <c r="E15" s="170">
        <v>20</v>
      </c>
      <c r="F15" s="170">
        <v>26.4</v>
      </c>
      <c r="G15" s="170">
        <f t="shared" si="5"/>
        <v>6.3999999999999986</v>
      </c>
      <c r="H15" s="223">
        <f t="shared" si="6"/>
        <v>131.99999999999997</v>
      </c>
      <c r="I15" s="220"/>
      <c r="K15" s="183"/>
      <c r="L15" s="224"/>
      <c r="M15" s="224"/>
      <c r="N15" s="224"/>
    </row>
    <row r="16" spans="1:16" ht="27" customHeight="1">
      <c r="A16" s="232"/>
      <c r="B16" s="191" t="s">
        <v>151</v>
      </c>
      <c r="C16" s="187"/>
      <c r="D16" s="170">
        <v>6.1</v>
      </c>
      <c r="E16" s="170">
        <v>5</v>
      </c>
      <c r="F16" s="170">
        <v>2.5</v>
      </c>
      <c r="G16" s="170">
        <f t="shared" si="5"/>
        <v>-2.5</v>
      </c>
      <c r="H16" s="223">
        <f t="shared" si="6"/>
        <v>50</v>
      </c>
      <c r="I16" s="203"/>
      <c r="K16" s="183">
        <v>1020</v>
      </c>
      <c r="L16" s="224">
        <f>SUM(D53,D166,)</f>
        <v>959.2</v>
      </c>
      <c r="M16" s="224">
        <f>SUM(E53,E166,)</f>
        <v>1004.9</v>
      </c>
      <c r="N16" s="224">
        <f>SUM(F53,F166,)</f>
        <v>965.9</v>
      </c>
    </row>
    <row r="17" spans="1:17" ht="23.25" customHeight="1">
      <c r="A17" s="232"/>
      <c r="B17" s="191" t="s">
        <v>152</v>
      </c>
      <c r="C17" s="187"/>
      <c r="D17" s="170">
        <v>0.2</v>
      </c>
      <c r="E17" s="170">
        <v>1</v>
      </c>
      <c r="F17" s="170"/>
      <c r="G17" s="170">
        <f t="shared" si="5"/>
        <v>-1</v>
      </c>
      <c r="H17" s="223">
        <f t="shared" si="6"/>
        <v>0</v>
      </c>
      <c r="I17" s="203"/>
      <c r="K17" s="183">
        <v>1021</v>
      </c>
      <c r="L17" s="233">
        <f>SUM(D54,)</f>
        <v>30.5</v>
      </c>
      <c r="M17" s="233">
        <f t="shared" ref="M17:N17" si="7">SUM(E54,)</f>
        <v>35</v>
      </c>
      <c r="N17" s="233">
        <f t="shared" si="7"/>
        <v>49.4</v>
      </c>
    </row>
    <row r="18" spans="1:17" ht="21.75" customHeight="1">
      <c r="A18" s="232"/>
      <c r="B18" s="191" t="s">
        <v>153</v>
      </c>
      <c r="C18" s="187"/>
      <c r="D18" s="170">
        <v>0.2</v>
      </c>
      <c r="E18" s="170">
        <v>10</v>
      </c>
      <c r="F18" s="170">
        <v>15.6</v>
      </c>
      <c r="G18" s="170">
        <f t="shared" si="5"/>
        <v>5.6</v>
      </c>
      <c r="H18" s="223">
        <f t="shared" si="6"/>
        <v>156</v>
      </c>
      <c r="I18" s="203"/>
      <c r="K18" s="183">
        <v>1022</v>
      </c>
      <c r="L18" s="233">
        <f t="shared" ref="L18:N19" si="8">SUM(D57,D167)</f>
        <v>754.8</v>
      </c>
      <c r="M18" s="233">
        <f t="shared" si="8"/>
        <v>776.2</v>
      </c>
      <c r="N18" s="233">
        <f t="shared" si="8"/>
        <v>755.9</v>
      </c>
    </row>
    <row r="19" spans="1:17" ht="24.75" customHeight="1">
      <c r="A19" s="232"/>
      <c r="B19" s="191" t="s">
        <v>154</v>
      </c>
      <c r="C19" s="187"/>
      <c r="D19" s="170">
        <v>45.5</v>
      </c>
      <c r="E19" s="170">
        <v>50</v>
      </c>
      <c r="F19" s="170">
        <v>60.9</v>
      </c>
      <c r="G19" s="170">
        <f t="shared" si="5"/>
        <v>10.899999999999999</v>
      </c>
      <c r="H19" s="223">
        <f t="shared" si="6"/>
        <v>121.8</v>
      </c>
      <c r="I19" s="203"/>
      <c r="K19" s="183">
        <v>1023</v>
      </c>
      <c r="L19" s="233">
        <f t="shared" si="8"/>
        <v>157.69999999999999</v>
      </c>
      <c r="M19" s="233">
        <f t="shared" si="8"/>
        <v>163.9</v>
      </c>
      <c r="N19" s="233">
        <f t="shared" si="8"/>
        <v>150.19999999999999</v>
      </c>
    </row>
    <row r="20" spans="1:17" ht="24.75" customHeight="1">
      <c r="A20" s="232"/>
      <c r="B20" s="191" t="s">
        <v>307</v>
      </c>
      <c r="C20" s="187"/>
      <c r="D20" s="170">
        <v>3.8</v>
      </c>
      <c r="E20" s="170">
        <v>15</v>
      </c>
      <c r="F20" s="170"/>
      <c r="G20" s="170">
        <f t="shared" si="5"/>
        <v>-15</v>
      </c>
      <c r="H20" s="223">
        <f t="shared" si="6"/>
        <v>0</v>
      </c>
      <c r="I20" s="203"/>
      <c r="K20" s="183">
        <v>1024</v>
      </c>
      <c r="L20" s="233"/>
      <c r="M20" s="233"/>
      <c r="N20" s="233"/>
      <c r="P20" s="234"/>
    </row>
    <row r="21" spans="1:17" ht="24.75" customHeight="1">
      <c r="A21" s="232"/>
      <c r="B21" s="191" t="s">
        <v>306</v>
      </c>
      <c r="C21" s="187"/>
      <c r="D21" s="170"/>
      <c r="E21" s="170">
        <v>10</v>
      </c>
      <c r="F21" s="170"/>
      <c r="G21" s="170">
        <f t="shared" si="5"/>
        <v>-10</v>
      </c>
      <c r="H21" s="223">
        <f t="shared" si="6"/>
        <v>0</v>
      </c>
      <c r="I21" s="203"/>
      <c r="K21" s="183">
        <v>1025</v>
      </c>
      <c r="L21" s="233">
        <f>SUM(D60,)</f>
        <v>16.2</v>
      </c>
      <c r="M21" s="233">
        <f t="shared" ref="M21:N21" si="9">SUM(E60,)</f>
        <v>29.8</v>
      </c>
      <c r="N21" s="233">
        <f t="shared" si="9"/>
        <v>10.4</v>
      </c>
      <c r="P21" s="234"/>
    </row>
    <row r="22" spans="1:17" ht="24.75" customHeight="1">
      <c r="A22" s="232"/>
      <c r="B22" s="169" t="s">
        <v>156</v>
      </c>
      <c r="C22" s="187"/>
      <c r="D22" s="170">
        <v>10.5</v>
      </c>
      <c r="E22" s="170">
        <v>40</v>
      </c>
      <c r="F22" s="170">
        <v>19.5</v>
      </c>
      <c r="G22" s="170">
        <f t="shared" si="5"/>
        <v>-20.5</v>
      </c>
      <c r="H22" s="223">
        <f t="shared" si="6"/>
        <v>48.75</v>
      </c>
      <c r="I22" s="203"/>
      <c r="L22" s="233"/>
      <c r="M22" s="233"/>
      <c r="N22" s="233"/>
      <c r="Q22" s="234"/>
    </row>
    <row r="23" spans="1:17" ht="24" customHeight="1">
      <c r="A23" s="232"/>
      <c r="B23" s="169" t="s">
        <v>157</v>
      </c>
      <c r="C23" s="187"/>
      <c r="D23" s="170">
        <v>12</v>
      </c>
      <c r="E23" s="170">
        <v>20</v>
      </c>
      <c r="F23" s="170">
        <v>8.8000000000000007</v>
      </c>
      <c r="G23" s="170">
        <f t="shared" si="5"/>
        <v>-11.2</v>
      </c>
      <c r="H23" s="223">
        <f t="shared" si="6"/>
        <v>44.000000000000007</v>
      </c>
      <c r="I23" s="203"/>
      <c r="K23" s="183">
        <v>1030</v>
      </c>
      <c r="L23" s="224">
        <f>SUM(D65,D88,D108,D116,D130,D144,D169,D178,D191,D213)</f>
        <v>4035.6000000000008</v>
      </c>
      <c r="M23" s="224">
        <f>SUM(E65,E88,E108,E116,E130,E144,E169,E178,E191,E213)</f>
        <v>4662.2</v>
      </c>
      <c r="N23" s="224">
        <f>SUM(F65,F88,F108,F116,F130,F144,F169,F178,F191,F213,F160)</f>
        <v>3838.0999999999995</v>
      </c>
    </row>
    <row r="24" spans="1:17" ht="24" customHeight="1">
      <c r="A24" s="232"/>
      <c r="B24" s="169" t="s">
        <v>304</v>
      </c>
      <c r="C24" s="187"/>
      <c r="D24" s="170"/>
      <c r="E24" s="170">
        <v>5</v>
      </c>
      <c r="F24" s="170"/>
      <c r="G24" s="170">
        <f t="shared" si="5"/>
        <v>-5</v>
      </c>
      <c r="H24" s="223">
        <f t="shared" si="6"/>
        <v>0</v>
      </c>
      <c r="I24" s="203"/>
      <c r="K24" s="183">
        <v>1031</v>
      </c>
      <c r="L24" s="233">
        <f>SUM(D66,D89,D109,D117,D131,D145,D161,D214)</f>
        <v>1416.9</v>
      </c>
      <c r="M24" s="233">
        <f>SUM(E66,E89,E109,E117,E131,E145,E161,E214)</f>
        <v>2070</v>
      </c>
      <c r="N24" s="233">
        <f>SUM(F66,F89,F109,F117,F131,F145,F161,F214)</f>
        <v>1081.5</v>
      </c>
    </row>
    <row r="25" spans="1:17" ht="21.75" customHeight="1">
      <c r="A25" s="232"/>
      <c r="B25" s="169" t="s">
        <v>263</v>
      </c>
      <c r="C25" s="187"/>
      <c r="D25" s="170">
        <v>37.6</v>
      </c>
      <c r="E25" s="170">
        <v>15</v>
      </c>
      <c r="F25" s="170"/>
      <c r="G25" s="170">
        <f t="shared" si="5"/>
        <v>-15</v>
      </c>
      <c r="H25" s="223">
        <f t="shared" si="6"/>
        <v>0</v>
      </c>
      <c r="I25" s="203"/>
      <c r="K25" s="183">
        <v>1032</v>
      </c>
      <c r="L25" s="233">
        <f t="shared" ref="L25:N26" si="10">SUM(D68,D170,)</f>
        <v>1922.2</v>
      </c>
      <c r="M25" s="233">
        <f t="shared" si="10"/>
        <v>1973.5</v>
      </c>
      <c r="N25" s="233">
        <f t="shared" si="10"/>
        <v>2065.4</v>
      </c>
    </row>
    <row r="26" spans="1:17" ht="22.5" customHeight="1">
      <c r="A26" s="232"/>
      <c r="B26" s="191" t="s">
        <v>155</v>
      </c>
      <c r="C26" s="187"/>
      <c r="D26" s="170">
        <v>0.5</v>
      </c>
      <c r="E26" s="170">
        <v>0.6</v>
      </c>
      <c r="F26" s="170">
        <v>0.6</v>
      </c>
      <c r="G26" s="170">
        <f t="shared" si="5"/>
        <v>0</v>
      </c>
      <c r="H26" s="223">
        <f t="shared" si="6"/>
        <v>100</v>
      </c>
      <c r="I26" s="203"/>
      <c r="K26" s="183">
        <v>1033</v>
      </c>
      <c r="L26" s="235">
        <f t="shared" si="10"/>
        <v>403.20000000000005</v>
      </c>
      <c r="M26" s="235">
        <f t="shared" si="10"/>
        <v>418.4</v>
      </c>
      <c r="N26" s="235">
        <f t="shared" si="10"/>
        <v>463.1</v>
      </c>
    </row>
    <row r="27" spans="1:17" ht="24.75" customHeight="1">
      <c r="A27" s="227" t="s">
        <v>200</v>
      </c>
      <c r="B27" s="236" t="s">
        <v>2</v>
      </c>
      <c r="C27" s="229">
        <v>1012</v>
      </c>
      <c r="D27" s="230">
        <v>6851.7</v>
      </c>
      <c r="E27" s="230">
        <v>6929.4</v>
      </c>
      <c r="F27" s="230">
        <v>6585.4</v>
      </c>
      <c r="G27" s="230">
        <f t="shared" si="5"/>
        <v>-344</v>
      </c>
      <c r="H27" s="231">
        <f t="shared" si="6"/>
        <v>95.035645221808522</v>
      </c>
      <c r="I27" s="203"/>
      <c r="K27" s="183">
        <v>1034</v>
      </c>
      <c r="L27" s="234">
        <f>SUM(D192,)</f>
        <v>4.9000000000000004</v>
      </c>
      <c r="M27" s="234">
        <f t="shared" ref="M27:N27" si="11">SUM(E192,)</f>
        <v>4.9000000000000004</v>
      </c>
      <c r="N27" s="234">
        <f t="shared" si="11"/>
        <v>4.5</v>
      </c>
    </row>
    <row r="28" spans="1:17" ht="24.75" customHeight="1">
      <c r="A28" s="227" t="s">
        <v>201</v>
      </c>
      <c r="B28" s="236" t="s">
        <v>3</v>
      </c>
      <c r="C28" s="229">
        <v>1013</v>
      </c>
      <c r="D28" s="230">
        <v>1428.3</v>
      </c>
      <c r="E28" s="230">
        <v>1469.5</v>
      </c>
      <c r="F28" s="230">
        <v>1330.1</v>
      </c>
      <c r="G28" s="230">
        <f t="shared" si="5"/>
        <v>-139.40000000000009</v>
      </c>
      <c r="H28" s="231">
        <f t="shared" si="6"/>
        <v>90.513780197346023</v>
      </c>
      <c r="I28" s="203"/>
      <c r="K28" s="183">
        <v>1035</v>
      </c>
      <c r="L28" s="233">
        <f>SUM(D70,D92,D179)</f>
        <v>288.39999999999998</v>
      </c>
      <c r="M28" s="233">
        <f>SUM(E70,E92,E179)</f>
        <v>195.39999999999998</v>
      </c>
      <c r="N28" s="233">
        <f>SUM(F70,F92,F179)</f>
        <v>223.6</v>
      </c>
    </row>
    <row r="29" spans="1:17" ht="24.75" customHeight="1">
      <c r="A29" s="227" t="s">
        <v>300</v>
      </c>
      <c r="B29" s="236" t="s">
        <v>202</v>
      </c>
      <c r="C29" s="229">
        <v>1014</v>
      </c>
      <c r="D29" s="230">
        <v>181.4</v>
      </c>
      <c r="E29" s="230">
        <v>200</v>
      </c>
      <c r="F29" s="230">
        <v>184</v>
      </c>
      <c r="G29" s="230">
        <f t="shared" si="5"/>
        <v>-16</v>
      </c>
      <c r="H29" s="231">
        <f t="shared" si="6"/>
        <v>92</v>
      </c>
      <c r="I29" s="203"/>
      <c r="J29" s="234"/>
      <c r="L29" s="233"/>
      <c r="M29" s="233"/>
      <c r="N29" s="233"/>
    </row>
    <row r="30" spans="1:17" ht="23.25" customHeight="1">
      <c r="A30" s="227" t="s">
        <v>203</v>
      </c>
      <c r="B30" s="236" t="s">
        <v>266</v>
      </c>
      <c r="C30" s="229">
        <v>1015</v>
      </c>
      <c r="D30" s="230">
        <f>SUM(D31:D52)</f>
        <v>120.39999999999998</v>
      </c>
      <c r="E30" s="230">
        <f>SUM(E31:E52)</f>
        <v>257.79999999999995</v>
      </c>
      <c r="F30" s="230">
        <f>SUM(F31:F52)</f>
        <v>96.199999999999989</v>
      </c>
      <c r="G30" s="230">
        <f t="shared" si="5"/>
        <v>-161.59999999999997</v>
      </c>
      <c r="H30" s="231">
        <f t="shared" si="6"/>
        <v>37.315748642358422</v>
      </c>
      <c r="I30" s="203"/>
      <c r="K30" s="183">
        <v>9000</v>
      </c>
      <c r="L30" s="234">
        <f>L10+L17+L24</f>
        <v>4487.3</v>
      </c>
      <c r="M30" s="149">
        <f t="shared" ref="M30:N30" si="12">M10+M17+M24</f>
        <v>4420.6000000000004</v>
      </c>
      <c r="N30" s="234">
        <f t="shared" si="12"/>
        <v>3816.6</v>
      </c>
    </row>
    <row r="31" spans="1:17" ht="24.75" customHeight="1">
      <c r="A31" s="232"/>
      <c r="B31" s="191" t="s">
        <v>164</v>
      </c>
      <c r="C31" s="160"/>
      <c r="D31" s="170"/>
      <c r="E31" s="170">
        <v>10</v>
      </c>
      <c r="F31" s="170"/>
      <c r="G31" s="170">
        <f t="shared" si="5"/>
        <v>-10</v>
      </c>
      <c r="H31" s="223">
        <f t="shared" si="6"/>
        <v>0</v>
      </c>
      <c r="I31" s="203"/>
      <c r="K31" s="183">
        <v>9010</v>
      </c>
      <c r="L31" s="234">
        <f>L11+L18+L25</f>
        <v>9746.2000000000007</v>
      </c>
      <c r="M31" s="149">
        <f t="shared" ref="M31:N31" si="13">M11+M18+M25</f>
        <v>9875.2000000000007</v>
      </c>
      <c r="N31" s="149">
        <f t="shared" si="13"/>
        <v>9607.4</v>
      </c>
    </row>
    <row r="32" spans="1:17" ht="24.75" customHeight="1">
      <c r="A32" s="232"/>
      <c r="B32" s="169" t="s">
        <v>265</v>
      </c>
      <c r="C32" s="160"/>
      <c r="D32" s="170"/>
      <c r="E32" s="170">
        <v>10</v>
      </c>
      <c r="F32" s="170">
        <v>13.8</v>
      </c>
      <c r="G32" s="170">
        <f t="shared" si="5"/>
        <v>3.8000000000000007</v>
      </c>
      <c r="H32" s="223">
        <f t="shared" si="6"/>
        <v>138</v>
      </c>
      <c r="I32" s="203"/>
      <c r="K32" s="183">
        <v>9020</v>
      </c>
      <c r="L32" s="234">
        <f>L12+L19+L26</f>
        <v>2037.7</v>
      </c>
      <c r="M32" s="149">
        <f t="shared" ref="M32:N32" si="14">M12+M19+M26</f>
        <v>2094.9</v>
      </c>
      <c r="N32" s="149">
        <f t="shared" si="14"/>
        <v>1990.9</v>
      </c>
    </row>
    <row r="33" spans="1:14" ht="24.75" customHeight="1">
      <c r="A33" s="232"/>
      <c r="B33" s="191" t="s">
        <v>166</v>
      </c>
      <c r="C33" s="160"/>
      <c r="D33" s="170">
        <v>2</v>
      </c>
      <c r="E33" s="170">
        <v>10</v>
      </c>
      <c r="F33" s="170"/>
      <c r="G33" s="170">
        <f t="shared" si="5"/>
        <v>-10</v>
      </c>
      <c r="H33" s="223">
        <f t="shared" si="6"/>
        <v>0</v>
      </c>
      <c r="I33" s="203"/>
      <c r="K33" s="183">
        <v>9030</v>
      </c>
      <c r="L33" s="237">
        <f>L13+L20+L27</f>
        <v>485.20000000000005</v>
      </c>
      <c r="M33" s="149">
        <f t="shared" ref="M33:N33" si="15">M13+M20+M27</f>
        <v>499.9</v>
      </c>
      <c r="N33" s="234">
        <f t="shared" si="15"/>
        <v>488.1</v>
      </c>
    </row>
    <row r="34" spans="1:14" ht="24.75" customHeight="1">
      <c r="A34" s="232"/>
      <c r="B34" s="191" t="s">
        <v>167</v>
      </c>
      <c r="C34" s="160"/>
      <c r="D34" s="170">
        <v>2.1</v>
      </c>
      <c r="E34" s="170">
        <v>10</v>
      </c>
      <c r="F34" s="170"/>
      <c r="G34" s="170">
        <f t="shared" si="5"/>
        <v>-10</v>
      </c>
      <c r="H34" s="223">
        <f t="shared" si="6"/>
        <v>0</v>
      </c>
      <c r="I34" s="203"/>
      <c r="K34" s="183">
        <v>9040</v>
      </c>
      <c r="L34" s="234">
        <f>L14+L21+L28</f>
        <v>452.99999999999994</v>
      </c>
      <c r="M34" s="149">
        <f t="shared" ref="M34:N34" si="16">M14+M21+M28</f>
        <v>520.79999999999995</v>
      </c>
      <c r="N34" s="149">
        <f t="shared" si="16"/>
        <v>367.8</v>
      </c>
    </row>
    <row r="35" spans="1:14" ht="24.75" customHeight="1">
      <c r="A35" s="232"/>
      <c r="B35" s="191" t="s">
        <v>168</v>
      </c>
      <c r="C35" s="160"/>
      <c r="D35" s="170">
        <v>3.8</v>
      </c>
      <c r="E35" s="170">
        <v>5</v>
      </c>
      <c r="F35" s="170">
        <v>4.5999999999999996</v>
      </c>
      <c r="G35" s="170">
        <f t="shared" si="5"/>
        <v>-0.40000000000000036</v>
      </c>
      <c r="H35" s="223">
        <f t="shared" si="6"/>
        <v>92</v>
      </c>
      <c r="I35" s="203"/>
      <c r="K35" s="183">
        <v>9050</v>
      </c>
      <c r="L35" s="226">
        <f>SUM(L30:L34)</f>
        <v>17209.400000000001</v>
      </c>
      <c r="M35" s="183">
        <f t="shared" ref="M35:N35" si="17">SUM(M30:M34)</f>
        <v>17411.400000000001</v>
      </c>
      <c r="N35" s="226">
        <f t="shared" si="17"/>
        <v>16270.8</v>
      </c>
    </row>
    <row r="36" spans="1:14" ht="24.75" customHeight="1">
      <c r="A36" s="232"/>
      <c r="B36" s="191" t="s">
        <v>169</v>
      </c>
      <c r="C36" s="160"/>
      <c r="D36" s="170">
        <v>18.899999999999999</v>
      </c>
      <c r="E36" s="170">
        <v>25</v>
      </c>
      <c r="F36" s="170">
        <v>20</v>
      </c>
      <c r="G36" s="170">
        <f t="shared" si="5"/>
        <v>-5</v>
      </c>
      <c r="H36" s="223">
        <f t="shared" si="6"/>
        <v>80</v>
      </c>
      <c r="I36" s="203"/>
      <c r="L36" s="234">
        <f>L35-L7</f>
        <v>0</v>
      </c>
    </row>
    <row r="37" spans="1:14" ht="24.75" customHeight="1">
      <c r="A37" s="232"/>
      <c r="B37" s="169" t="s">
        <v>171</v>
      </c>
      <c r="C37" s="160"/>
      <c r="D37" s="170">
        <v>44.8</v>
      </c>
      <c r="E37" s="170">
        <v>40</v>
      </c>
      <c r="F37" s="170">
        <v>27.8</v>
      </c>
      <c r="G37" s="170">
        <f t="shared" si="5"/>
        <v>-12.2</v>
      </c>
      <c r="H37" s="223">
        <f t="shared" si="6"/>
        <v>69.5</v>
      </c>
      <c r="I37" s="203"/>
    </row>
    <row r="38" spans="1:14" ht="24.75" customHeight="1">
      <c r="A38" s="232"/>
      <c r="B38" s="169" t="s">
        <v>172</v>
      </c>
      <c r="C38" s="160"/>
      <c r="D38" s="170">
        <v>1.3</v>
      </c>
      <c r="E38" s="170">
        <v>2</v>
      </c>
      <c r="F38" s="170">
        <v>1.6</v>
      </c>
      <c r="G38" s="170">
        <f t="shared" si="5"/>
        <v>-0.39999999999999991</v>
      </c>
      <c r="H38" s="223">
        <f t="shared" si="6"/>
        <v>80</v>
      </c>
      <c r="I38" s="203"/>
    </row>
    <row r="39" spans="1:14" ht="24.75" customHeight="1">
      <c r="A39" s="232"/>
      <c r="B39" s="169" t="s">
        <v>315</v>
      </c>
      <c r="C39" s="160"/>
      <c r="D39" s="170">
        <v>2.8</v>
      </c>
      <c r="E39" s="170"/>
      <c r="F39" s="170">
        <v>2.8</v>
      </c>
      <c r="G39" s="170">
        <f t="shared" si="5"/>
        <v>2.8</v>
      </c>
      <c r="H39" s="238" t="e">
        <f t="shared" si="6"/>
        <v>#DIV/0!</v>
      </c>
      <c r="I39" s="203"/>
    </row>
    <row r="40" spans="1:14" ht="24.75" customHeight="1">
      <c r="A40" s="232"/>
      <c r="B40" s="191" t="s">
        <v>173</v>
      </c>
      <c r="C40" s="160"/>
      <c r="D40" s="170">
        <v>10.8</v>
      </c>
      <c r="E40" s="170">
        <v>15</v>
      </c>
      <c r="F40" s="170">
        <v>11.1</v>
      </c>
      <c r="G40" s="170">
        <f t="shared" si="5"/>
        <v>-3.9000000000000004</v>
      </c>
      <c r="H40" s="223">
        <f t="shared" si="6"/>
        <v>74</v>
      </c>
      <c r="I40" s="203"/>
    </row>
    <row r="41" spans="1:14" ht="24.75" customHeight="1">
      <c r="A41" s="232"/>
      <c r="B41" s="191" t="s">
        <v>174</v>
      </c>
      <c r="C41" s="160"/>
      <c r="D41" s="170"/>
      <c r="E41" s="170">
        <v>1</v>
      </c>
      <c r="F41" s="170"/>
      <c r="G41" s="170">
        <f t="shared" si="5"/>
        <v>-1</v>
      </c>
      <c r="H41" s="223">
        <f t="shared" si="6"/>
        <v>0</v>
      </c>
      <c r="I41" s="203"/>
    </row>
    <row r="42" spans="1:14" ht="24.75" customHeight="1">
      <c r="A42" s="232"/>
      <c r="B42" s="191" t="s">
        <v>195</v>
      </c>
      <c r="C42" s="160"/>
      <c r="D42" s="170">
        <v>12.6</v>
      </c>
      <c r="E42" s="170"/>
      <c r="F42" s="170">
        <v>1.5</v>
      </c>
      <c r="G42" s="170">
        <f t="shared" si="5"/>
        <v>1.5</v>
      </c>
      <c r="H42" s="238" t="e">
        <f t="shared" si="6"/>
        <v>#DIV/0!</v>
      </c>
      <c r="I42" s="203"/>
    </row>
    <row r="43" spans="1:14" ht="24.75" hidden="1" customHeight="1">
      <c r="A43" s="232"/>
      <c r="B43" s="191" t="s">
        <v>196</v>
      </c>
      <c r="C43" s="160"/>
      <c r="D43" s="170"/>
      <c r="E43" s="170"/>
      <c r="F43" s="170"/>
      <c r="G43" s="170">
        <f t="shared" si="5"/>
        <v>0</v>
      </c>
      <c r="H43" s="223" t="e">
        <f t="shared" si="6"/>
        <v>#DIV/0!</v>
      </c>
      <c r="I43" s="203"/>
    </row>
    <row r="44" spans="1:14" ht="24.75" hidden="1" customHeight="1">
      <c r="A44" s="232"/>
      <c r="B44" s="191" t="s">
        <v>184</v>
      </c>
      <c r="C44" s="160"/>
      <c r="D44" s="170"/>
      <c r="E44" s="170"/>
      <c r="F44" s="170"/>
      <c r="G44" s="170">
        <f t="shared" si="5"/>
        <v>0</v>
      </c>
      <c r="H44" s="223" t="e">
        <f t="shared" si="6"/>
        <v>#DIV/0!</v>
      </c>
      <c r="I44" s="203"/>
    </row>
    <row r="45" spans="1:14" ht="24.75" customHeight="1">
      <c r="A45" s="232"/>
      <c r="B45" s="191" t="s">
        <v>204</v>
      </c>
      <c r="C45" s="160"/>
      <c r="D45" s="170">
        <v>1.9</v>
      </c>
      <c r="E45" s="170">
        <v>8</v>
      </c>
      <c r="F45" s="170">
        <v>6.5</v>
      </c>
      <c r="G45" s="170">
        <f t="shared" si="5"/>
        <v>-1.5</v>
      </c>
      <c r="H45" s="223">
        <f t="shared" si="6"/>
        <v>81.25</v>
      </c>
      <c r="I45" s="203"/>
    </row>
    <row r="46" spans="1:14" ht="24.75" customHeight="1">
      <c r="A46" s="232"/>
      <c r="B46" s="191" t="s">
        <v>176</v>
      </c>
      <c r="C46" s="160"/>
      <c r="D46" s="170">
        <v>3.8</v>
      </c>
      <c r="E46" s="170">
        <v>4</v>
      </c>
      <c r="F46" s="170">
        <v>3.9</v>
      </c>
      <c r="G46" s="170">
        <f t="shared" si="5"/>
        <v>-0.10000000000000009</v>
      </c>
      <c r="H46" s="223">
        <f t="shared" si="6"/>
        <v>97.5</v>
      </c>
      <c r="I46" s="203"/>
    </row>
    <row r="47" spans="1:14" ht="24.75" customHeight="1">
      <c r="A47" s="232"/>
      <c r="B47" s="191" t="s">
        <v>177</v>
      </c>
      <c r="C47" s="160"/>
      <c r="D47" s="170"/>
      <c r="E47" s="170">
        <v>0.6</v>
      </c>
      <c r="F47" s="170"/>
      <c r="G47" s="170">
        <f t="shared" si="5"/>
        <v>-0.6</v>
      </c>
      <c r="H47" s="223">
        <f t="shared" si="6"/>
        <v>0</v>
      </c>
      <c r="I47" s="203"/>
    </row>
    <row r="48" spans="1:14" ht="24.75" customHeight="1">
      <c r="A48" s="232"/>
      <c r="B48" s="191" t="s">
        <v>253</v>
      </c>
      <c r="C48" s="160"/>
      <c r="D48" s="170"/>
      <c r="E48" s="170">
        <v>100</v>
      </c>
      <c r="F48" s="170"/>
      <c r="G48" s="170">
        <f t="shared" si="5"/>
        <v>-100</v>
      </c>
      <c r="H48" s="223">
        <f t="shared" si="6"/>
        <v>0</v>
      </c>
      <c r="I48" s="203"/>
    </row>
    <row r="49" spans="1:9" ht="24.75" customHeight="1">
      <c r="A49" s="232"/>
      <c r="B49" s="191" t="s">
        <v>249</v>
      </c>
      <c r="C49" s="160"/>
      <c r="D49" s="170"/>
      <c r="E49" s="170">
        <v>0.2</v>
      </c>
      <c r="F49" s="170"/>
      <c r="G49" s="170">
        <f t="shared" si="5"/>
        <v>-0.2</v>
      </c>
      <c r="H49" s="223">
        <f t="shared" si="6"/>
        <v>0</v>
      </c>
      <c r="I49" s="203"/>
    </row>
    <row r="50" spans="1:9" ht="24.75" customHeight="1">
      <c r="A50" s="232"/>
      <c r="B50" s="191" t="s">
        <v>257</v>
      </c>
      <c r="C50" s="160"/>
      <c r="D50" s="170">
        <v>4.3</v>
      </c>
      <c r="E50" s="170"/>
      <c r="F50" s="170">
        <v>2.6</v>
      </c>
      <c r="G50" s="170">
        <f t="shared" si="5"/>
        <v>2.6</v>
      </c>
      <c r="H50" s="238" t="e">
        <f t="shared" si="6"/>
        <v>#DIV/0!</v>
      </c>
      <c r="I50" s="203"/>
    </row>
    <row r="51" spans="1:9" ht="45" customHeight="1">
      <c r="A51" s="232"/>
      <c r="B51" s="187" t="s">
        <v>281</v>
      </c>
      <c r="C51" s="160"/>
      <c r="D51" s="170">
        <v>11.3</v>
      </c>
      <c r="E51" s="170">
        <v>15</v>
      </c>
      <c r="F51" s="170"/>
      <c r="G51" s="170">
        <f t="shared" si="5"/>
        <v>-15</v>
      </c>
      <c r="H51" s="238">
        <f t="shared" si="6"/>
        <v>0</v>
      </c>
      <c r="I51" s="203"/>
    </row>
    <row r="52" spans="1:9" ht="24.75" customHeight="1">
      <c r="A52" s="232"/>
      <c r="B52" s="191" t="s">
        <v>262</v>
      </c>
      <c r="C52" s="160"/>
      <c r="D52" s="170"/>
      <c r="E52" s="170">
        <v>2</v>
      </c>
      <c r="F52" s="170"/>
      <c r="G52" s="170">
        <f t="shared" si="5"/>
        <v>-2</v>
      </c>
      <c r="H52" s="238">
        <f t="shared" si="6"/>
        <v>0</v>
      </c>
      <c r="I52" s="203"/>
    </row>
    <row r="53" spans="1:9" ht="24.75" customHeight="1">
      <c r="A53" s="225" t="s">
        <v>95</v>
      </c>
      <c r="B53" s="221" t="s">
        <v>99</v>
      </c>
      <c r="C53" s="166">
        <v>1020</v>
      </c>
      <c r="D53" s="167">
        <f>D54+D57+D58+D60+D59</f>
        <v>956.2</v>
      </c>
      <c r="E53" s="167">
        <f>E54+E57+E58+E60</f>
        <v>1004.9</v>
      </c>
      <c r="F53" s="167">
        <f>F54+F57+F58+F60+F59</f>
        <v>965.9</v>
      </c>
      <c r="G53" s="167">
        <f t="shared" si="5"/>
        <v>-39</v>
      </c>
      <c r="H53" s="219">
        <f t="shared" si="6"/>
        <v>96.119016817593788</v>
      </c>
      <c r="I53" s="203"/>
    </row>
    <row r="54" spans="1:9" ht="24.75" customHeight="1">
      <c r="A54" s="227" t="s">
        <v>205</v>
      </c>
      <c r="B54" s="228" t="s">
        <v>147</v>
      </c>
      <c r="C54" s="229">
        <v>1021</v>
      </c>
      <c r="D54" s="230">
        <f>SUM(D55:D56)</f>
        <v>30.5</v>
      </c>
      <c r="E54" s="230">
        <f>SUM(E55:E56)</f>
        <v>35</v>
      </c>
      <c r="F54" s="230">
        <f>SUM(F55:F56)</f>
        <v>49.4</v>
      </c>
      <c r="G54" s="230">
        <f t="shared" si="5"/>
        <v>14.399999999999999</v>
      </c>
      <c r="H54" s="231">
        <f t="shared" si="6"/>
        <v>141.14285714285714</v>
      </c>
      <c r="I54" s="203"/>
    </row>
    <row r="55" spans="1:9" ht="24" customHeight="1">
      <c r="A55" s="232"/>
      <c r="B55" s="169" t="s">
        <v>178</v>
      </c>
      <c r="C55" s="160"/>
      <c r="D55" s="170">
        <v>23.3</v>
      </c>
      <c r="E55" s="170">
        <v>15</v>
      </c>
      <c r="F55" s="170">
        <v>29</v>
      </c>
      <c r="G55" s="170">
        <f t="shared" si="5"/>
        <v>14</v>
      </c>
      <c r="H55" s="223">
        <f t="shared" si="6"/>
        <v>193.33333333333334</v>
      </c>
      <c r="I55" s="203"/>
    </row>
    <row r="56" spans="1:9" s="183" customFormat="1" ht="24" customHeight="1">
      <c r="A56" s="232"/>
      <c r="B56" s="191" t="s">
        <v>154</v>
      </c>
      <c r="C56" s="160"/>
      <c r="D56" s="170">
        <v>7.2</v>
      </c>
      <c r="E56" s="170">
        <v>20</v>
      </c>
      <c r="F56" s="170">
        <v>20.399999999999999</v>
      </c>
      <c r="G56" s="170">
        <f t="shared" si="5"/>
        <v>0.39999999999999858</v>
      </c>
      <c r="H56" s="223">
        <f t="shared" si="6"/>
        <v>102</v>
      </c>
      <c r="I56" s="203"/>
    </row>
    <row r="57" spans="1:9" s="183" customFormat="1" ht="25.5" customHeight="1">
      <c r="A57" s="227" t="s">
        <v>206</v>
      </c>
      <c r="B57" s="236" t="s">
        <v>2</v>
      </c>
      <c r="C57" s="229">
        <v>1022</v>
      </c>
      <c r="D57" s="230">
        <v>752.3</v>
      </c>
      <c r="E57" s="230">
        <v>776.2</v>
      </c>
      <c r="F57" s="230">
        <v>755.9</v>
      </c>
      <c r="G57" s="230">
        <f t="shared" si="5"/>
        <v>-20.300000000000068</v>
      </c>
      <c r="H57" s="231">
        <f t="shared" si="6"/>
        <v>97.384694666323099</v>
      </c>
      <c r="I57" s="203"/>
    </row>
    <row r="58" spans="1:9" s="183" customFormat="1" ht="25.5" customHeight="1">
      <c r="A58" s="227" t="s">
        <v>207</v>
      </c>
      <c r="B58" s="236" t="s">
        <v>3</v>
      </c>
      <c r="C58" s="229">
        <v>1023</v>
      </c>
      <c r="D58" s="230">
        <v>157.19999999999999</v>
      </c>
      <c r="E58" s="230">
        <v>163.9</v>
      </c>
      <c r="F58" s="230">
        <v>150.19999999999999</v>
      </c>
      <c r="G58" s="230">
        <f t="shared" si="5"/>
        <v>-13.700000000000017</v>
      </c>
      <c r="H58" s="231">
        <f t="shared" si="6"/>
        <v>91.641244661378892</v>
      </c>
      <c r="I58" s="203"/>
    </row>
    <row r="59" spans="1:9" s="183" customFormat="1" ht="24.75" hidden="1" customHeight="1">
      <c r="A59" s="227" t="s">
        <v>208</v>
      </c>
      <c r="B59" s="236" t="s">
        <v>202</v>
      </c>
      <c r="C59" s="229">
        <v>1024</v>
      </c>
      <c r="D59" s="230"/>
      <c r="E59" s="230"/>
      <c r="F59" s="230"/>
      <c r="G59" s="230">
        <f t="shared" si="5"/>
        <v>0</v>
      </c>
      <c r="H59" s="239" t="e">
        <f t="shared" si="6"/>
        <v>#DIV/0!</v>
      </c>
      <c r="I59" s="203"/>
    </row>
    <row r="60" spans="1:9" s="183" customFormat="1" ht="27" customHeight="1">
      <c r="A60" s="227" t="s">
        <v>209</v>
      </c>
      <c r="B60" s="236" t="s">
        <v>210</v>
      </c>
      <c r="C60" s="229">
        <v>1025</v>
      </c>
      <c r="D60" s="230">
        <f>SUM(D61:D64)</f>
        <v>16.2</v>
      </c>
      <c r="E60" s="230">
        <f>SUM(E61:E64)</f>
        <v>29.8</v>
      </c>
      <c r="F60" s="230">
        <f>SUM(F61:F64)</f>
        <v>10.4</v>
      </c>
      <c r="G60" s="230">
        <f t="shared" si="5"/>
        <v>-19.399999999999999</v>
      </c>
      <c r="H60" s="231">
        <f t="shared" si="6"/>
        <v>34.899328859060404</v>
      </c>
      <c r="I60" s="203"/>
    </row>
    <row r="61" spans="1:9" ht="24" customHeight="1">
      <c r="A61" s="232"/>
      <c r="B61" s="191" t="s">
        <v>185</v>
      </c>
      <c r="C61" s="160"/>
      <c r="D61" s="170">
        <v>4</v>
      </c>
      <c r="E61" s="170">
        <v>2</v>
      </c>
      <c r="F61" s="170"/>
      <c r="G61" s="170">
        <f t="shared" si="5"/>
        <v>-2</v>
      </c>
      <c r="H61" s="223">
        <f t="shared" si="6"/>
        <v>0</v>
      </c>
      <c r="I61" s="203"/>
    </row>
    <row r="62" spans="1:9" ht="24.75" customHeight="1">
      <c r="A62" s="232"/>
      <c r="B62" s="191" t="s">
        <v>254</v>
      </c>
      <c r="C62" s="160"/>
      <c r="D62" s="170"/>
      <c r="E62" s="170">
        <v>16.8</v>
      </c>
      <c r="F62" s="170"/>
      <c r="G62" s="170">
        <f t="shared" si="5"/>
        <v>-16.8</v>
      </c>
      <c r="H62" s="223">
        <f t="shared" si="6"/>
        <v>0</v>
      </c>
      <c r="I62" s="203"/>
    </row>
    <row r="63" spans="1:9" ht="21.75" customHeight="1">
      <c r="A63" s="232"/>
      <c r="B63" s="191" t="s">
        <v>179</v>
      </c>
      <c r="C63" s="160"/>
      <c r="D63" s="170"/>
      <c r="E63" s="170">
        <v>1</v>
      </c>
      <c r="F63" s="170"/>
      <c r="G63" s="170">
        <f t="shared" si="5"/>
        <v>-1</v>
      </c>
      <c r="H63" s="223">
        <f t="shared" si="6"/>
        <v>0</v>
      </c>
      <c r="I63" s="203"/>
    </row>
    <row r="64" spans="1:9" ht="25.5" customHeight="1">
      <c r="A64" s="232"/>
      <c r="B64" s="169" t="s">
        <v>180</v>
      </c>
      <c r="C64" s="160"/>
      <c r="D64" s="170">
        <v>12.2</v>
      </c>
      <c r="E64" s="170">
        <v>10</v>
      </c>
      <c r="F64" s="170">
        <v>10.4</v>
      </c>
      <c r="G64" s="170">
        <f t="shared" si="5"/>
        <v>0.40000000000000036</v>
      </c>
      <c r="H64" s="223">
        <f t="shared" si="6"/>
        <v>104</v>
      </c>
      <c r="I64" s="203"/>
    </row>
    <row r="65" spans="1:11" ht="24.75" customHeight="1">
      <c r="A65" s="225" t="s">
        <v>98</v>
      </c>
      <c r="B65" s="240" t="s">
        <v>100</v>
      </c>
      <c r="C65" s="166">
        <v>1030</v>
      </c>
      <c r="D65" s="167">
        <f>SUM(D68:D70)</f>
        <v>2334.9</v>
      </c>
      <c r="E65" s="167">
        <f>E68+E69+E70</f>
        <v>2405.4</v>
      </c>
      <c r="F65" s="167">
        <f>F68+F69+F66+F70</f>
        <v>2571.6</v>
      </c>
      <c r="G65" s="167">
        <f t="shared" si="5"/>
        <v>166.19999999999982</v>
      </c>
      <c r="H65" s="219">
        <f t="shared" si="6"/>
        <v>106.90945372910949</v>
      </c>
      <c r="I65" s="203"/>
    </row>
    <row r="66" spans="1:11" ht="24.75" customHeight="1">
      <c r="A66" s="227" t="s">
        <v>353</v>
      </c>
      <c r="B66" s="228" t="s">
        <v>147</v>
      </c>
      <c r="C66" s="229">
        <v>1031</v>
      </c>
      <c r="D66" s="230"/>
      <c r="E66" s="230"/>
      <c r="F66" s="230">
        <f>F67</f>
        <v>3.1</v>
      </c>
      <c r="G66" s="230">
        <f t="shared" si="5"/>
        <v>3.1</v>
      </c>
      <c r="H66" s="241" t="e">
        <f t="shared" si="6"/>
        <v>#DIV/0!</v>
      </c>
      <c r="I66" s="203"/>
    </row>
    <row r="67" spans="1:11" ht="24.75" customHeight="1">
      <c r="A67" s="225"/>
      <c r="B67" s="169" t="s">
        <v>178</v>
      </c>
      <c r="C67" s="166"/>
      <c r="D67" s="167"/>
      <c r="E67" s="167"/>
      <c r="F67" s="170">
        <v>3.1</v>
      </c>
      <c r="G67" s="167">
        <f t="shared" si="5"/>
        <v>3.1</v>
      </c>
      <c r="H67" s="242" t="e">
        <f t="shared" si="6"/>
        <v>#DIV/0!</v>
      </c>
      <c r="I67" s="203"/>
    </row>
    <row r="68" spans="1:11" ht="24" customHeight="1">
      <c r="A68" s="227" t="s">
        <v>211</v>
      </c>
      <c r="B68" s="236" t="s">
        <v>2</v>
      </c>
      <c r="C68" s="229">
        <v>1032</v>
      </c>
      <c r="D68" s="230">
        <v>1914.9</v>
      </c>
      <c r="E68" s="230">
        <v>1973.5</v>
      </c>
      <c r="F68" s="230">
        <v>2065.4</v>
      </c>
      <c r="G68" s="230">
        <f t="shared" si="5"/>
        <v>91.900000000000091</v>
      </c>
      <c r="H68" s="231">
        <f t="shared" si="6"/>
        <v>104.65670129212062</v>
      </c>
      <c r="I68" s="203"/>
    </row>
    <row r="69" spans="1:11" ht="23.25" customHeight="1">
      <c r="A69" s="227" t="s">
        <v>212</v>
      </c>
      <c r="B69" s="236" t="s">
        <v>3</v>
      </c>
      <c r="C69" s="229">
        <v>1033</v>
      </c>
      <c r="D69" s="230">
        <v>401.6</v>
      </c>
      <c r="E69" s="230">
        <v>418.4</v>
      </c>
      <c r="F69" s="230">
        <v>463.1</v>
      </c>
      <c r="G69" s="230">
        <f t="shared" si="5"/>
        <v>44.700000000000045</v>
      </c>
      <c r="H69" s="231">
        <f t="shared" si="6"/>
        <v>110.68355640535374</v>
      </c>
      <c r="I69" s="203"/>
    </row>
    <row r="70" spans="1:11" ht="25.5" customHeight="1">
      <c r="A70" s="225" t="s">
        <v>213</v>
      </c>
      <c r="B70" s="240" t="s">
        <v>100</v>
      </c>
      <c r="C70" s="166">
        <v>1035</v>
      </c>
      <c r="D70" s="167">
        <f>SUM(D71:D76)</f>
        <v>18.399999999999999</v>
      </c>
      <c r="E70" s="167">
        <f>SUM(E71:E76)</f>
        <v>13.5</v>
      </c>
      <c r="F70" s="167">
        <f>SUM(F71:F76)</f>
        <v>40</v>
      </c>
      <c r="G70" s="167">
        <f t="shared" si="5"/>
        <v>26.5</v>
      </c>
      <c r="H70" s="219">
        <f t="shared" si="6"/>
        <v>296.2962962962963</v>
      </c>
      <c r="I70" s="203"/>
    </row>
    <row r="71" spans="1:11" ht="21" customHeight="1">
      <c r="A71" s="232"/>
      <c r="B71" s="169" t="s">
        <v>268</v>
      </c>
      <c r="C71" s="160"/>
      <c r="D71" s="170">
        <v>6.4</v>
      </c>
      <c r="E71" s="170">
        <v>8</v>
      </c>
      <c r="F71" s="170">
        <v>9.6</v>
      </c>
      <c r="G71" s="170">
        <f t="shared" si="5"/>
        <v>1.5999999999999996</v>
      </c>
      <c r="H71" s="223">
        <f t="shared" si="6"/>
        <v>120</v>
      </c>
      <c r="I71" s="203"/>
    </row>
    <row r="72" spans="1:11" ht="22.5" customHeight="1">
      <c r="A72" s="232"/>
      <c r="B72" s="169" t="s">
        <v>192</v>
      </c>
      <c r="C72" s="160"/>
      <c r="D72" s="170">
        <v>4.5999999999999996</v>
      </c>
      <c r="E72" s="170">
        <v>4.5999999999999996</v>
      </c>
      <c r="F72" s="170">
        <v>4.5999999999999996</v>
      </c>
      <c r="G72" s="170">
        <f t="shared" si="5"/>
        <v>0</v>
      </c>
      <c r="H72" s="223">
        <f t="shared" si="6"/>
        <v>100</v>
      </c>
      <c r="I72" s="203"/>
    </row>
    <row r="73" spans="1:11" ht="21" customHeight="1">
      <c r="A73" s="232"/>
      <c r="B73" s="169" t="s">
        <v>193</v>
      </c>
      <c r="C73" s="160"/>
      <c r="D73" s="170">
        <v>0.8</v>
      </c>
      <c r="E73" s="170">
        <v>0.9</v>
      </c>
      <c r="F73" s="170">
        <v>1</v>
      </c>
      <c r="G73" s="170">
        <f t="shared" si="5"/>
        <v>9.9999999999999978E-2</v>
      </c>
      <c r="H73" s="223">
        <f t="shared" si="6"/>
        <v>111.11111111111111</v>
      </c>
      <c r="I73" s="203"/>
    </row>
    <row r="74" spans="1:11" ht="24" customHeight="1">
      <c r="A74" s="232"/>
      <c r="B74" s="169" t="s">
        <v>311</v>
      </c>
      <c r="C74" s="160"/>
      <c r="D74" s="170">
        <v>6.6</v>
      </c>
      <c r="E74" s="170"/>
      <c r="F74" s="170">
        <v>5.6</v>
      </c>
      <c r="G74" s="170">
        <f t="shared" si="5"/>
        <v>5.6</v>
      </c>
      <c r="H74" s="238" t="e">
        <f t="shared" si="6"/>
        <v>#DIV/0!</v>
      </c>
      <c r="I74" s="203"/>
    </row>
    <row r="75" spans="1:11" ht="24.75" customHeight="1">
      <c r="A75" s="232"/>
      <c r="B75" s="169" t="s">
        <v>335</v>
      </c>
      <c r="C75" s="160"/>
      <c r="D75" s="170"/>
      <c r="E75" s="170"/>
      <c r="F75" s="170">
        <v>9.3000000000000007</v>
      </c>
      <c r="G75" s="170">
        <f t="shared" ref="G75:G133" si="18">F75-E75</f>
        <v>9.3000000000000007</v>
      </c>
      <c r="H75" s="238" t="e">
        <f t="shared" ref="H75:H133" si="19">(F75/E75)*100</f>
        <v>#DIV/0!</v>
      </c>
      <c r="I75" s="203"/>
    </row>
    <row r="76" spans="1:11" ht="22.5" customHeight="1">
      <c r="A76" s="232"/>
      <c r="B76" s="169" t="s">
        <v>195</v>
      </c>
      <c r="C76" s="160"/>
      <c r="D76" s="170"/>
      <c r="E76" s="170"/>
      <c r="F76" s="170">
        <v>9.9</v>
      </c>
      <c r="G76" s="170">
        <f t="shared" si="18"/>
        <v>9.9</v>
      </c>
      <c r="H76" s="238" t="e">
        <f t="shared" si="19"/>
        <v>#DIV/0!</v>
      </c>
      <c r="I76" s="203"/>
    </row>
    <row r="77" spans="1:11" ht="27.75" customHeight="1">
      <c r="A77" s="243" t="s">
        <v>101</v>
      </c>
      <c r="B77" s="240" t="s">
        <v>214</v>
      </c>
      <c r="C77" s="166"/>
      <c r="D77" s="167">
        <f>SUM(D79,D88,)</f>
        <v>1189.3999999999999</v>
      </c>
      <c r="E77" s="167">
        <f>SUM(E79,E88,)</f>
        <v>1093.6999999999998</v>
      </c>
      <c r="F77" s="167">
        <f>SUM(F79,F88,)</f>
        <v>1091.3</v>
      </c>
      <c r="G77" s="167">
        <f t="shared" si="18"/>
        <v>-2.3999999999998636</v>
      </c>
      <c r="H77" s="219">
        <f t="shared" si="19"/>
        <v>99.780561397092455</v>
      </c>
      <c r="I77" s="203"/>
      <c r="J77" s="234"/>
      <c r="K77" s="234"/>
    </row>
    <row r="78" spans="1:11" ht="24" customHeight="1">
      <c r="A78" s="168"/>
      <c r="B78" s="222" t="s">
        <v>93</v>
      </c>
      <c r="C78" s="160"/>
      <c r="D78" s="170"/>
      <c r="E78" s="223"/>
      <c r="F78" s="170"/>
      <c r="G78" s="167"/>
      <c r="H78" s="223"/>
      <c r="I78" s="203"/>
      <c r="J78" s="234"/>
    </row>
    <row r="79" spans="1:11" ht="23.25" customHeight="1">
      <c r="A79" s="225" t="s">
        <v>102</v>
      </c>
      <c r="B79" s="193" t="s">
        <v>97</v>
      </c>
      <c r="C79" s="166">
        <v>1010</v>
      </c>
      <c r="D79" s="167">
        <f>D80+D86</f>
        <v>879.49999999999989</v>
      </c>
      <c r="E79" s="219">
        <f>E80+E86</f>
        <v>934.49999999999989</v>
      </c>
      <c r="F79" s="167">
        <f>F80+F86</f>
        <v>934.59999999999991</v>
      </c>
      <c r="G79" s="167">
        <f t="shared" si="18"/>
        <v>0.10000000000002274</v>
      </c>
      <c r="H79" s="219">
        <f t="shared" si="19"/>
        <v>100.01070090957731</v>
      </c>
      <c r="I79" s="203"/>
    </row>
    <row r="80" spans="1:11" ht="24" customHeight="1">
      <c r="A80" s="227" t="s">
        <v>215</v>
      </c>
      <c r="B80" s="228" t="s">
        <v>147</v>
      </c>
      <c r="C80" s="229">
        <v>1011</v>
      </c>
      <c r="D80" s="230">
        <f>SUM(D81:D85)</f>
        <v>851.59999999999991</v>
      </c>
      <c r="E80" s="230">
        <f>SUM(E81:E85)</f>
        <v>899.69999999999993</v>
      </c>
      <c r="F80" s="230">
        <f>SUM(F81:F85)</f>
        <v>899.8</v>
      </c>
      <c r="G80" s="230">
        <f t="shared" si="18"/>
        <v>0.10000000000002274</v>
      </c>
      <c r="H80" s="231">
        <f t="shared" si="19"/>
        <v>100.01111481604981</v>
      </c>
      <c r="I80" s="203"/>
    </row>
    <row r="81" spans="1:10" ht="24" customHeight="1">
      <c r="A81" s="225"/>
      <c r="B81" s="169" t="s">
        <v>183</v>
      </c>
      <c r="C81" s="166"/>
      <c r="D81" s="170">
        <v>469.7</v>
      </c>
      <c r="E81" s="223">
        <f>470.7+34.1</f>
        <v>504.8</v>
      </c>
      <c r="F81" s="170">
        <v>504.8</v>
      </c>
      <c r="G81" s="170">
        <f t="shared" si="18"/>
        <v>0</v>
      </c>
      <c r="H81" s="223">
        <f t="shared" si="19"/>
        <v>100</v>
      </c>
      <c r="I81" s="203"/>
    </row>
    <row r="82" spans="1:10" ht="22.5" customHeight="1">
      <c r="A82" s="225"/>
      <c r="B82" s="169" t="s">
        <v>159</v>
      </c>
      <c r="C82" s="166"/>
      <c r="D82" s="170">
        <v>7.9</v>
      </c>
      <c r="E82" s="223">
        <v>9.6</v>
      </c>
      <c r="F82" s="170">
        <v>9.6</v>
      </c>
      <c r="G82" s="170">
        <f t="shared" si="18"/>
        <v>0</v>
      </c>
      <c r="H82" s="223">
        <f t="shared" si="19"/>
        <v>100</v>
      </c>
      <c r="I82" s="203"/>
    </row>
    <row r="83" spans="1:10" ht="22.5" customHeight="1">
      <c r="A83" s="225"/>
      <c r="B83" s="169" t="s">
        <v>160</v>
      </c>
      <c r="C83" s="166"/>
      <c r="D83" s="170">
        <v>223.8</v>
      </c>
      <c r="E83" s="223">
        <v>321.5</v>
      </c>
      <c r="F83" s="170">
        <v>321.5</v>
      </c>
      <c r="G83" s="170">
        <f t="shared" si="18"/>
        <v>0</v>
      </c>
      <c r="H83" s="223">
        <f t="shared" si="19"/>
        <v>100</v>
      </c>
      <c r="I83" s="203"/>
    </row>
    <row r="84" spans="1:10" ht="24.75" customHeight="1">
      <c r="A84" s="225"/>
      <c r="B84" s="169" t="s">
        <v>161</v>
      </c>
      <c r="C84" s="166"/>
      <c r="D84" s="170">
        <v>141.19999999999999</v>
      </c>
      <c r="E84" s="223">
        <v>53.9</v>
      </c>
      <c r="F84" s="170">
        <v>53.9</v>
      </c>
      <c r="G84" s="170">
        <f t="shared" si="18"/>
        <v>0</v>
      </c>
      <c r="H84" s="223">
        <f t="shared" si="19"/>
        <v>100</v>
      </c>
      <c r="I84" s="203"/>
    </row>
    <row r="85" spans="1:10" ht="22.5" customHeight="1">
      <c r="A85" s="168"/>
      <c r="B85" s="169" t="s">
        <v>162</v>
      </c>
      <c r="C85" s="160"/>
      <c r="D85" s="170">
        <v>9</v>
      </c>
      <c r="E85" s="223">
        <v>9.9</v>
      </c>
      <c r="F85" s="170">
        <v>10</v>
      </c>
      <c r="G85" s="170">
        <f t="shared" si="18"/>
        <v>9.9999999999999645E-2</v>
      </c>
      <c r="H85" s="223">
        <f t="shared" si="19"/>
        <v>101.01010101010101</v>
      </c>
      <c r="I85" s="203"/>
    </row>
    <row r="86" spans="1:10" ht="22.5" customHeight="1">
      <c r="A86" s="227" t="s">
        <v>203</v>
      </c>
      <c r="B86" s="236" t="s">
        <v>266</v>
      </c>
      <c r="C86" s="229">
        <v>1015</v>
      </c>
      <c r="D86" s="230">
        <f t="shared" ref="D86:F86" si="20">D87</f>
        <v>27.9</v>
      </c>
      <c r="E86" s="230">
        <f t="shared" si="20"/>
        <v>34.799999999999997</v>
      </c>
      <c r="F86" s="230">
        <f t="shared" si="20"/>
        <v>34.799999999999997</v>
      </c>
      <c r="G86" s="230">
        <f t="shared" si="18"/>
        <v>0</v>
      </c>
      <c r="H86" s="231">
        <f t="shared" si="19"/>
        <v>100</v>
      </c>
      <c r="I86" s="203"/>
    </row>
    <row r="87" spans="1:10" ht="22.5" customHeight="1">
      <c r="A87" s="225"/>
      <c r="B87" s="169" t="s">
        <v>170</v>
      </c>
      <c r="C87" s="166"/>
      <c r="D87" s="170">
        <v>27.9</v>
      </c>
      <c r="E87" s="223">
        <v>34.799999999999997</v>
      </c>
      <c r="F87" s="170">
        <v>34.799999999999997</v>
      </c>
      <c r="G87" s="170">
        <f t="shared" si="18"/>
        <v>0</v>
      </c>
      <c r="H87" s="219">
        <f t="shared" si="19"/>
        <v>100</v>
      </c>
      <c r="I87" s="203"/>
    </row>
    <row r="88" spans="1:10" ht="24.75" customHeight="1">
      <c r="A88" s="225" t="s">
        <v>103</v>
      </c>
      <c r="B88" s="240" t="s">
        <v>100</v>
      </c>
      <c r="C88" s="166">
        <v>1030</v>
      </c>
      <c r="D88" s="167">
        <f>D92+D89</f>
        <v>309.90000000000003</v>
      </c>
      <c r="E88" s="219">
        <f>E92+E89</f>
        <v>159.19999999999999</v>
      </c>
      <c r="F88" s="167">
        <f>F92+F89</f>
        <v>156.69999999999999</v>
      </c>
      <c r="G88" s="167">
        <f t="shared" si="18"/>
        <v>-2.5</v>
      </c>
      <c r="H88" s="219">
        <f t="shared" si="19"/>
        <v>98.429648241206024</v>
      </c>
      <c r="I88" s="203"/>
    </row>
    <row r="89" spans="1:10" ht="29.25" customHeight="1">
      <c r="A89" s="227" t="s">
        <v>255</v>
      </c>
      <c r="B89" s="228" t="s">
        <v>147</v>
      </c>
      <c r="C89" s="229">
        <v>1031</v>
      </c>
      <c r="D89" s="230">
        <f>SUM(D90:D91)</f>
        <v>62.8</v>
      </c>
      <c r="E89" s="231">
        <f>SUM(E90:E91)</f>
        <v>2.5</v>
      </c>
      <c r="F89" s="230">
        <f>SUM(F90:F91)</f>
        <v>0</v>
      </c>
      <c r="G89" s="230">
        <f t="shared" si="18"/>
        <v>-2.5</v>
      </c>
      <c r="H89" s="231">
        <f t="shared" si="19"/>
        <v>0</v>
      </c>
      <c r="I89" s="203"/>
    </row>
    <row r="90" spans="1:10" ht="45" customHeight="1">
      <c r="A90" s="232"/>
      <c r="B90" s="169" t="s">
        <v>186</v>
      </c>
      <c r="C90" s="166"/>
      <c r="D90" s="170">
        <v>7.5</v>
      </c>
      <c r="E90" s="223">
        <v>2.5</v>
      </c>
      <c r="F90" s="170"/>
      <c r="G90" s="170">
        <f t="shared" si="18"/>
        <v>-2.5</v>
      </c>
      <c r="H90" s="223">
        <f t="shared" si="19"/>
        <v>0</v>
      </c>
      <c r="I90" s="203"/>
    </row>
    <row r="91" spans="1:10" ht="28.5" customHeight="1">
      <c r="A91" s="232"/>
      <c r="B91" s="169" t="s">
        <v>187</v>
      </c>
      <c r="C91" s="166"/>
      <c r="D91" s="170">
        <v>55.3</v>
      </c>
      <c r="E91" s="223">
        <v>0</v>
      </c>
      <c r="F91" s="170"/>
      <c r="G91" s="170">
        <f t="shared" si="18"/>
        <v>0</v>
      </c>
      <c r="H91" s="238" t="e">
        <f t="shared" si="19"/>
        <v>#DIV/0!</v>
      </c>
      <c r="I91" s="203"/>
    </row>
    <row r="92" spans="1:10" s="245" customFormat="1" ht="23.25" customHeight="1">
      <c r="A92" s="227" t="s">
        <v>216</v>
      </c>
      <c r="B92" s="236" t="s">
        <v>100</v>
      </c>
      <c r="C92" s="229">
        <v>1035</v>
      </c>
      <c r="D92" s="230">
        <f>SUM(D93:D95)</f>
        <v>247.10000000000002</v>
      </c>
      <c r="E92" s="230">
        <f>SUM(E93:E95)</f>
        <v>156.69999999999999</v>
      </c>
      <c r="F92" s="230">
        <f>SUM(F93:F95)</f>
        <v>156.69999999999999</v>
      </c>
      <c r="G92" s="230">
        <f t="shared" si="18"/>
        <v>0</v>
      </c>
      <c r="H92" s="231">
        <f t="shared" si="19"/>
        <v>100</v>
      </c>
      <c r="I92" s="244">
        <f>SUM(I93:I95)</f>
        <v>0</v>
      </c>
    </row>
    <row r="93" spans="1:10" ht="42.75" customHeight="1">
      <c r="A93" s="168"/>
      <c r="B93" s="187" t="s">
        <v>197</v>
      </c>
      <c r="C93" s="160"/>
      <c r="D93" s="170">
        <v>25.3</v>
      </c>
      <c r="E93" s="223">
        <v>0</v>
      </c>
      <c r="F93" s="170"/>
      <c r="G93" s="170">
        <f t="shared" si="18"/>
        <v>0</v>
      </c>
      <c r="H93" s="238" t="e">
        <f t="shared" si="19"/>
        <v>#DIV/0!</v>
      </c>
      <c r="I93" s="203"/>
    </row>
    <row r="94" spans="1:10" ht="23.25" customHeight="1">
      <c r="A94" s="168"/>
      <c r="B94" s="169" t="s">
        <v>198</v>
      </c>
      <c r="C94" s="160"/>
      <c r="D94" s="170">
        <v>200.9</v>
      </c>
      <c r="E94" s="223">
        <v>156.69999999999999</v>
      </c>
      <c r="F94" s="170">
        <v>156.69999999999999</v>
      </c>
      <c r="G94" s="170">
        <f t="shared" si="18"/>
        <v>0</v>
      </c>
      <c r="H94" s="223">
        <f t="shared" si="19"/>
        <v>100</v>
      </c>
      <c r="I94" s="203"/>
    </row>
    <row r="95" spans="1:10" ht="25.5" customHeight="1">
      <c r="A95" s="168"/>
      <c r="B95" s="169" t="s">
        <v>277</v>
      </c>
      <c r="C95" s="160"/>
      <c r="D95" s="170">
        <v>20.9</v>
      </c>
      <c r="E95" s="223"/>
      <c r="F95" s="170"/>
      <c r="G95" s="167">
        <f t="shared" si="18"/>
        <v>0</v>
      </c>
      <c r="H95" s="238" t="e">
        <f t="shared" si="19"/>
        <v>#DIV/0!</v>
      </c>
      <c r="I95" s="203"/>
    </row>
    <row r="96" spans="1:10" ht="27.75" customHeight="1">
      <c r="A96" s="243" t="s">
        <v>113</v>
      </c>
      <c r="B96" s="193" t="s">
        <v>282</v>
      </c>
      <c r="C96" s="160"/>
      <c r="D96" s="167">
        <f>D98+D108</f>
        <v>280</v>
      </c>
      <c r="E96" s="223"/>
      <c r="F96" s="167">
        <f>F98+F108</f>
        <v>271.8</v>
      </c>
      <c r="G96" s="167">
        <f t="shared" si="18"/>
        <v>271.8</v>
      </c>
      <c r="H96" s="238" t="e">
        <f t="shared" si="19"/>
        <v>#DIV/0!</v>
      </c>
      <c r="I96" s="203"/>
      <c r="J96" s="234"/>
    </row>
    <row r="97" spans="1:9" ht="25.5" customHeight="1">
      <c r="A97" s="168"/>
      <c r="B97" s="222" t="s">
        <v>93</v>
      </c>
      <c r="C97" s="160"/>
      <c r="D97" s="170"/>
      <c r="E97" s="223"/>
      <c r="F97" s="170"/>
      <c r="G97" s="167">
        <f t="shared" si="18"/>
        <v>0</v>
      </c>
      <c r="H97" s="238" t="e">
        <f t="shared" si="19"/>
        <v>#DIV/0!</v>
      </c>
      <c r="I97" s="203"/>
    </row>
    <row r="98" spans="1:9" ht="27" customHeight="1">
      <c r="A98" s="246" t="s">
        <v>114</v>
      </c>
      <c r="B98" s="193" t="s">
        <v>97</v>
      </c>
      <c r="C98" s="166">
        <v>1010</v>
      </c>
      <c r="D98" s="167">
        <f>D99+D106</f>
        <v>99.999999999999986</v>
      </c>
      <c r="E98" s="223"/>
      <c r="F98" s="167">
        <f>F99+F106</f>
        <v>25.599999999999998</v>
      </c>
      <c r="G98" s="167">
        <f t="shared" si="18"/>
        <v>25.599999999999998</v>
      </c>
      <c r="H98" s="238" t="e">
        <f t="shared" si="19"/>
        <v>#DIV/0!</v>
      </c>
      <c r="I98" s="203"/>
    </row>
    <row r="99" spans="1:9" s="245" customFormat="1" ht="24" customHeight="1">
      <c r="A99" s="247" t="s">
        <v>217</v>
      </c>
      <c r="B99" s="248" t="s">
        <v>147</v>
      </c>
      <c r="C99" s="229">
        <v>1011</v>
      </c>
      <c r="D99" s="230">
        <f>SUM(D100:D103)</f>
        <v>99.899999999999991</v>
      </c>
      <c r="E99" s="239"/>
      <c r="F99" s="230">
        <f>SUM(F100:F105)</f>
        <v>25.599999999999998</v>
      </c>
      <c r="G99" s="230">
        <f t="shared" si="18"/>
        <v>25.599999999999998</v>
      </c>
      <c r="H99" s="249" t="e">
        <f t="shared" si="19"/>
        <v>#DIV/0!</v>
      </c>
      <c r="I99" s="250"/>
    </row>
    <row r="100" spans="1:9" ht="21.75" customHeight="1">
      <c r="A100" s="168"/>
      <c r="B100" s="169" t="s">
        <v>149</v>
      </c>
      <c r="C100" s="160"/>
      <c r="D100" s="170">
        <v>19</v>
      </c>
      <c r="E100" s="223"/>
      <c r="F100" s="170"/>
      <c r="G100" s="170">
        <f t="shared" si="18"/>
        <v>0</v>
      </c>
      <c r="H100" s="238" t="e">
        <f t="shared" si="19"/>
        <v>#DIV/0!</v>
      </c>
      <c r="I100" s="203"/>
    </row>
    <row r="101" spans="1:9" ht="23.25" customHeight="1">
      <c r="A101" s="168"/>
      <c r="B101" s="169" t="s">
        <v>163</v>
      </c>
      <c r="C101" s="160"/>
      <c r="D101" s="170">
        <v>63</v>
      </c>
      <c r="E101" s="223"/>
      <c r="F101" s="170">
        <v>0.8</v>
      </c>
      <c r="G101" s="170">
        <f t="shared" si="18"/>
        <v>0.8</v>
      </c>
      <c r="H101" s="238" t="e">
        <f t="shared" si="19"/>
        <v>#DIV/0!</v>
      </c>
      <c r="I101" s="203"/>
    </row>
    <row r="102" spans="1:9" ht="21.75" customHeight="1">
      <c r="A102" s="168"/>
      <c r="B102" s="169" t="s">
        <v>219</v>
      </c>
      <c r="C102" s="160"/>
      <c r="D102" s="170">
        <v>6.6</v>
      </c>
      <c r="E102" s="223"/>
      <c r="F102" s="170">
        <v>1.1000000000000001</v>
      </c>
      <c r="G102" s="170">
        <f t="shared" si="18"/>
        <v>1.1000000000000001</v>
      </c>
      <c r="H102" s="238" t="e">
        <f t="shared" si="19"/>
        <v>#DIV/0!</v>
      </c>
      <c r="I102" s="203"/>
    </row>
    <row r="103" spans="1:9" ht="23.25" customHeight="1">
      <c r="A103" s="168"/>
      <c r="B103" s="169" t="s">
        <v>148</v>
      </c>
      <c r="C103" s="160"/>
      <c r="D103" s="170">
        <v>11.3</v>
      </c>
      <c r="E103" s="223"/>
      <c r="F103" s="170">
        <v>22.8</v>
      </c>
      <c r="G103" s="170">
        <f t="shared" si="18"/>
        <v>22.8</v>
      </c>
      <c r="H103" s="238" t="e">
        <f t="shared" si="19"/>
        <v>#DIV/0!</v>
      </c>
      <c r="I103" s="203"/>
    </row>
    <row r="104" spans="1:9" ht="21.75" customHeight="1">
      <c r="A104" s="168"/>
      <c r="B104" s="169" t="s">
        <v>157</v>
      </c>
      <c r="C104" s="160"/>
      <c r="D104" s="170"/>
      <c r="E104" s="223"/>
      <c r="F104" s="170"/>
      <c r="G104" s="170">
        <f t="shared" si="18"/>
        <v>0</v>
      </c>
      <c r="H104" s="238" t="e">
        <f t="shared" si="19"/>
        <v>#DIV/0!</v>
      </c>
      <c r="I104" s="203"/>
    </row>
    <row r="105" spans="1:9" ht="26.25" customHeight="1">
      <c r="A105" s="168"/>
      <c r="B105" s="169" t="s">
        <v>252</v>
      </c>
      <c r="C105" s="160"/>
      <c r="D105" s="170"/>
      <c r="E105" s="223"/>
      <c r="F105" s="170">
        <v>0.9</v>
      </c>
      <c r="G105" s="170">
        <f t="shared" si="18"/>
        <v>0.9</v>
      </c>
      <c r="H105" s="238" t="e">
        <f t="shared" si="19"/>
        <v>#DIV/0!</v>
      </c>
      <c r="I105" s="203"/>
    </row>
    <row r="106" spans="1:9" s="245" customFormat="1" ht="21.75" customHeight="1">
      <c r="A106" s="227" t="s">
        <v>283</v>
      </c>
      <c r="B106" s="248" t="s">
        <v>266</v>
      </c>
      <c r="C106" s="229">
        <v>1015</v>
      </c>
      <c r="D106" s="230">
        <f>D107</f>
        <v>0.1</v>
      </c>
      <c r="E106" s="239"/>
      <c r="F106" s="230">
        <f>F107</f>
        <v>0</v>
      </c>
      <c r="G106" s="230">
        <f t="shared" si="18"/>
        <v>0</v>
      </c>
      <c r="H106" s="249" t="e">
        <f t="shared" si="19"/>
        <v>#DIV/0!</v>
      </c>
      <c r="I106" s="250"/>
    </row>
    <row r="107" spans="1:9" ht="22.5" customHeight="1">
      <c r="A107" s="232"/>
      <c r="B107" s="169" t="s">
        <v>194</v>
      </c>
      <c r="C107" s="160"/>
      <c r="D107" s="170">
        <v>0.1</v>
      </c>
      <c r="E107" s="223"/>
      <c r="F107" s="170"/>
      <c r="G107" s="167">
        <f t="shared" si="18"/>
        <v>0</v>
      </c>
      <c r="H107" s="238" t="e">
        <f t="shared" si="19"/>
        <v>#DIV/0!</v>
      </c>
      <c r="I107" s="203"/>
    </row>
    <row r="108" spans="1:9" ht="26.25" customHeight="1">
      <c r="A108" s="225" t="s">
        <v>284</v>
      </c>
      <c r="B108" s="240" t="s">
        <v>100</v>
      </c>
      <c r="C108" s="166">
        <v>1030</v>
      </c>
      <c r="D108" s="167">
        <f>D109</f>
        <v>180</v>
      </c>
      <c r="E108" s="223"/>
      <c r="F108" s="167">
        <f>F109</f>
        <v>246.2</v>
      </c>
      <c r="G108" s="167">
        <f t="shared" si="18"/>
        <v>246.2</v>
      </c>
      <c r="H108" s="238" t="e">
        <f t="shared" si="19"/>
        <v>#DIV/0!</v>
      </c>
      <c r="I108" s="203"/>
    </row>
    <row r="109" spans="1:9" s="245" customFormat="1" ht="24" customHeight="1">
      <c r="A109" s="227" t="s">
        <v>285</v>
      </c>
      <c r="B109" s="228" t="s">
        <v>147</v>
      </c>
      <c r="C109" s="229">
        <v>1031</v>
      </c>
      <c r="D109" s="230">
        <f>SUM(D110:D110)</f>
        <v>180</v>
      </c>
      <c r="E109" s="239"/>
      <c r="F109" s="230">
        <f>SUM(F110:F110)</f>
        <v>246.2</v>
      </c>
      <c r="G109" s="230">
        <f t="shared" si="18"/>
        <v>246.2</v>
      </c>
      <c r="H109" s="249" t="e">
        <f t="shared" si="19"/>
        <v>#DIV/0!</v>
      </c>
      <c r="I109" s="250"/>
    </row>
    <row r="110" spans="1:9" ht="37.5">
      <c r="A110" s="232"/>
      <c r="B110" s="169" t="s">
        <v>186</v>
      </c>
      <c r="C110" s="166"/>
      <c r="D110" s="170">
        <v>180</v>
      </c>
      <c r="E110" s="223"/>
      <c r="F110" s="170">
        <v>246.2</v>
      </c>
      <c r="G110" s="170">
        <f t="shared" si="18"/>
        <v>246.2</v>
      </c>
      <c r="H110" s="238" t="e">
        <f t="shared" si="19"/>
        <v>#DIV/0!</v>
      </c>
      <c r="I110" s="203"/>
    </row>
    <row r="111" spans="1:9" ht="49.5" customHeight="1">
      <c r="A111" s="251" t="s">
        <v>337</v>
      </c>
      <c r="B111" s="252" t="s">
        <v>218</v>
      </c>
      <c r="C111" s="253"/>
      <c r="D111" s="167">
        <f>SUM(D116)+D113</f>
        <v>1.3</v>
      </c>
      <c r="E111" s="219">
        <f>SUM(E116)</f>
        <v>6</v>
      </c>
      <c r="F111" s="167">
        <f>SUM(F116)+F113</f>
        <v>0.7</v>
      </c>
      <c r="G111" s="167">
        <f t="shared" si="18"/>
        <v>-5.3</v>
      </c>
      <c r="H111" s="219">
        <f t="shared" si="19"/>
        <v>11.666666666666666</v>
      </c>
      <c r="I111" s="203"/>
    </row>
    <row r="112" spans="1:9" ht="28.5" customHeight="1">
      <c r="A112" s="251"/>
      <c r="B112" s="254" t="s">
        <v>93</v>
      </c>
      <c r="C112" s="253"/>
      <c r="D112" s="167"/>
      <c r="E112" s="219"/>
      <c r="F112" s="167"/>
      <c r="G112" s="167"/>
      <c r="H112" s="219"/>
      <c r="I112" s="203"/>
    </row>
    <row r="113" spans="1:10" ht="24.75" customHeight="1">
      <c r="A113" s="251" t="s">
        <v>338</v>
      </c>
      <c r="B113" s="193" t="s">
        <v>97</v>
      </c>
      <c r="C113" s="166">
        <v>1010</v>
      </c>
      <c r="D113" s="167">
        <f>D114</f>
        <v>0.9</v>
      </c>
      <c r="E113" s="170">
        <f>E114+E115</f>
        <v>0</v>
      </c>
      <c r="F113" s="167">
        <f>F114</f>
        <v>0</v>
      </c>
      <c r="G113" s="167">
        <f t="shared" si="18"/>
        <v>0</v>
      </c>
      <c r="H113" s="242" t="e">
        <f t="shared" si="19"/>
        <v>#DIV/0!</v>
      </c>
      <c r="I113" s="203"/>
    </row>
    <row r="114" spans="1:10" s="245" customFormat="1" ht="24.75" customHeight="1">
      <c r="A114" s="255" t="s">
        <v>339</v>
      </c>
      <c r="B114" s="236" t="s">
        <v>147</v>
      </c>
      <c r="C114" s="229">
        <v>1011</v>
      </c>
      <c r="D114" s="230">
        <f>D115</f>
        <v>0.9</v>
      </c>
      <c r="E114" s="230"/>
      <c r="F114" s="230">
        <f>F115</f>
        <v>0</v>
      </c>
      <c r="G114" s="230">
        <f t="shared" si="18"/>
        <v>0</v>
      </c>
      <c r="H114" s="241" t="e">
        <f t="shared" si="19"/>
        <v>#DIV/0!</v>
      </c>
      <c r="I114" s="250"/>
    </row>
    <row r="115" spans="1:10" ht="22.5" customHeight="1">
      <c r="A115" s="251"/>
      <c r="B115" s="189" t="s">
        <v>302</v>
      </c>
      <c r="C115" s="160"/>
      <c r="D115" s="170">
        <v>0.9</v>
      </c>
      <c r="E115" s="170"/>
      <c r="F115" s="170"/>
      <c r="G115" s="170">
        <f t="shared" si="18"/>
        <v>0</v>
      </c>
      <c r="H115" s="242" t="e">
        <f t="shared" si="19"/>
        <v>#DIV/0!</v>
      </c>
      <c r="I115" s="203"/>
    </row>
    <row r="116" spans="1:10" ht="22.5" customHeight="1">
      <c r="A116" s="251" t="s">
        <v>355</v>
      </c>
      <c r="B116" s="240" t="s">
        <v>100</v>
      </c>
      <c r="C116" s="243">
        <v>1030</v>
      </c>
      <c r="D116" s="167">
        <f>D117</f>
        <v>0.4</v>
      </c>
      <c r="E116" s="219">
        <f>E117</f>
        <v>6</v>
      </c>
      <c r="F116" s="167">
        <f>F117</f>
        <v>0.7</v>
      </c>
      <c r="G116" s="167">
        <f t="shared" si="18"/>
        <v>-5.3</v>
      </c>
      <c r="H116" s="219">
        <f t="shared" si="19"/>
        <v>11.666666666666666</v>
      </c>
      <c r="I116" s="203"/>
    </row>
    <row r="117" spans="1:10" s="245" customFormat="1" ht="24.75" customHeight="1">
      <c r="A117" s="255" t="s">
        <v>356</v>
      </c>
      <c r="B117" s="228" t="s">
        <v>147</v>
      </c>
      <c r="C117" s="247">
        <v>1031</v>
      </c>
      <c r="D117" s="230">
        <f t="shared" ref="D117" si="21">D118</f>
        <v>0.4</v>
      </c>
      <c r="E117" s="230">
        <f>E118+E119</f>
        <v>6</v>
      </c>
      <c r="F117" s="230">
        <f>F118+F119+F120</f>
        <v>0.7</v>
      </c>
      <c r="G117" s="230">
        <f t="shared" si="18"/>
        <v>-5.3</v>
      </c>
      <c r="H117" s="231">
        <f t="shared" si="19"/>
        <v>11.666666666666666</v>
      </c>
      <c r="I117" s="250"/>
    </row>
    <row r="118" spans="1:10" ht="24.75" customHeight="1">
      <c r="A118" s="256"/>
      <c r="B118" s="191" t="s">
        <v>219</v>
      </c>
      <c r="C118" s="253"/>
      <c r="D118" s="170">
        <v>0.4</v>
      </c>
      <c r="E118" s="223">
        <v>5</v>
      </c>
      <c r="F118" s="170">
        <v>0.5</v>
      </c>
      <c r="G118" s="170">
        <f t="shared" si="18"/>
        <v>-4.5</v>
      </c>
      <c r="H118" s="223">
        <f t="shared" si="19"/>
        <v>10</v>
      </c>
      <c r="I118" s="203"/>
    </row>
    <row r="119" spans="1:10" ht="24.75" customHeight="1">
      <c r="A119" s="256"/>
      <c r="B119" s="191" t="s">
        <v>247</v>
      </c>
      <c r="C119" s="253"/>
      <c r="D119" s="170"/>
      <c r="E119" s="223">
        <v>1</v>
      </c>
      <c r="F119" s="170">
        <v>0.1</v>
      </c>
      <c r="G119" s="170">
        <f t="shared" si="18"/>
        <v>-0.9</v>
      </c>
      <c r="H119" s="223">
        <f t="shared" si="19"/>
        <v>10</v>
      </c>
      <c r="I119" s="203"/>
    </row>
    <row r="120" spans="1:10" ht="24.75" customHeight="1">
      <c r="A120" s="256"/>
      <c r="B120" s="191" t="s">
        <v>157</v>
      </c>
      <c r="C120" s="253"/>
      <c r="D120" s="170"/>
      <c r="E120" s="223"/>
      <c r="F120" s="170">
        <v>0.1</v>
      </c>
      <c r="G120" s="170">
        <f t="shared" si="18"/>
        <v>0.1</v>
      </c>
      <c r="H120" s="238" t="e">
        <f t="shared" si="19"/>
        <v>#DIV/0!</v>
      </c>
      <c r="I120" s="203"/>
    </row>
    <row r="121" spans="1:10" ht="33.75" customHeight="1">
      <c r="A121" s="251" t="s">
        <v>221</v>
      </c>
      <c r="B121" s="193" t="s">
        <v>301</v>
      </c>
      <c r="C121" s="197"/>
      <c r="D121" s="257">
        <f>SUM(D123,)</f>
        <v>51.6</v>
      </c>
      <c r="E121" s="219">
        <f>SUM(E130)</f>
        <v>56.4</v>
      </c>
      <c r="F121" s="257">
        <f>SUM(F123,)+F130</f>
        <v>57</v>
      </c>
      <c r="G121" s="167">
        <f t="shared" si="18"/>
        <v>0.60000000000000142</v>
      </c>
      <c r="H121" s="219">
        <f t="shared" si="19"/>
        <v>101.06382978723406</v>
      </c>
      <c r="I121" s="258"/>
      <c r="J121" s="149">
        <v>51.6</v>
      </c>
    </row>
    <row r="122" spans="1:10" ht="27" customHeight="1">
      <c r="A122" s="256"/>
      <c r="B122" s="259" t="s">
        <v>93</v>
      </c>
      <c r="C122" s="260"/>
      <c r="D122" s="261"/>
      <c r="E122" s="223"/>
      <c r="F122" s="261"/>
      <c r="G122" s="167"/>
      <c r="H122" s="219"/>
      <c r="I122" s="203"/>
    </row>
    <row r="123" spans="1:10" ht="25.5" customHeight="1">
      <c r="A123" s="251" t="s">
        <v>115</v>
      </c>
      <c r="B123" s="193" t="s">
        <v>97</v>
      </c>
      <c r="C123" s="166">
        <v>1010</v>
      </c>
      <c r="D123" s="257">
        <f>D124</f>
        <v>51.6</v>
      </c>
      <c r="E123" s="262">
        <f>SUM(E124)</f>
        <v>0</v>
      </c>
      <c r="F123" s="257">
        <f>F124</f>
        <v>0</v>
      </c>
      <c r="G123" s="167">
        <f t="shared" si="18"/>
        <v>0</v>
      </c>
      <c r="H123" s="242" t="e">
        <f t="shared" si="19"/>
        <v>#DIV/0!</v>
      </c>
      <c r="I123" s="203"/>
    </row>
    <row r="124" spans="1:10" s="245" customFormat="1" ht="27" customHeight="1">
      <c r="A124" s="255" t="s">
        <v>223</v>
      </c>
      <c r="B124" s="228" t="s">
        <v>147</v>
      </c>
      <c r="C124" s="229">
        <v>1011</v>
      </c>
      <c r="D124" s="263">
        <f>D125+D126+D127+D128+D129</f>
        <v>51.6</v>
      </c>
      <c r="E124" s="264">
        <f>SUM(E125:E129)</f>
        <v>0</v>
      </c>
      <c r="F124" s="263">
        <f>F125+F126+F127+F128+F129</f>
        <v>0</v>
      </c>
      <c r="G124" s="230">
        <f t="shared" si="18"/>
        <v>0</v>
      </c>
      <c r="H124" s="241" t="e">
        <f t="shared" si="19"/>
        <v>#DIV/0!</v>
      </c>
      <c r="I124" s="250"/>
    </row>
    <row r="125" spans="1:10" ht="22.5" customHeight="1">
      <c r="A125" s="256"/>
      <c r="B125" s="190" t="s">
        <v>158</v>
      </c>
      <c r="C125" s="166"/>
      <c r="D125" s="223">
        <v>42.2</v>
      </c>
      <c r="E125" s="265"/>
      <c r="F125" s="223"/>
      <c r="G125" s="170">
        <f t="shared" si="18"/>
        <v>0</v>
      </c>
      <c r="H125" s="238" t="e">
        <f t="shared" si="19"/>
        <v>#DIV/0!</v>
      </c>
      <c r="I125" s="203"/>
    </row>
    <row r="126" spans="1:10" ht="24" customHeight="1">
      <c r="A126" s="256"/>
      <c r="B126" s="190" t="s">
        <v>159</v>
      </c>
      <c r="C126" s="166"/>
      <c r="D126" s="223">
        <v>1.3</v>
      </c>
      <c r="E126" s="265"/>
      <c r="F126" s="223"/>
      <c r="G126" s="170">
        <f t="shared" si="18"/>
        <v>0</v>
      </c>
      <c r="H126" s="238" t="e">
        <f t="shared" si="19"/>
        <v>#DIV/0!</v>
      </c>
      <c r="I126" s="203"/>
    </row>
    <row r="127" spans="1:10" ht="22.5" customHeight="1">
      <c r="A127" s="256"/>
      <c r="B127" s="190" t="s">
        <v>160</v>
      </c>
      <c r="C127" s="166"/>
      <c r="D127" s="223">
        <v>7.4</v>
      </c>
      <c r="E127" s="265"/>
      <c r="F127" s="223"/>
      <c r="G127" s="170">
        <f t="shared" si="18"/>
        <v>0</v>
      </c>
      <c r="H127" s="238" t="e">
        <f t="shared" si="19"/>
        <v>#DIV/0!</v>
      </c>
      <c r="I127" s="203"/>
    </row>
    <row r="128" spans="1:10" ht="22.5" customHeight="1">
      <c r="A128" s="256"/>
      <c r="B128" s="190" t="s">
        <v>220</v>
      </c>
      <c r="C128" s="166"/>
      <c r="D128" s="223">
        <v>0.6</v>
      </c>
      <c r="E128" s="265"/>
      <c r="F128" s="223"/>
      <c r="G128" s="170">
        <f t="shared" si="18"/>
        <v>0</v>
      </c>
      <c r="H128" s="238" t="e">
        <f t="shared" si="19"/>
        <v>#DIV/0!</v>
      </c>
      <c r="I128" s="203"/>
    </row>
    <row r="129" spans="1:9" ht="21" customHeight="1">
      <c r="A129" s="256"/>
      <c r="B129" s="190" t="s">
        <v>305</v>
      </c>
      <c r="C129" s="260"/>
      <c r="D129" s="261">
        <v>0.1</v>
      </c>
      <c r="E129" s="265"/>
      <c r="F129" s="261"/>
      <c r="G129" s="170">
        <f t="shared" si="18"/>
        <v>0</v>
      </c>
      <c r="H129" s="242" t="e">
        <f t="shared" si="19"/>
        <v>#DIV/0!</v>
      </c>
      <c r="I129" s="203"/>
    </row>
    <row r="130" spans="1:9" ht="24.75" customHeight="1">
      <c r="A130" s="266" t="s">
        <v>357</v>
      </c>
      <c r="B130" s="240" t="s">
        <v>100</v>
      </c>
      <c r="C130" s="267">
        <v>1030</v>
      </c>
      <c r="D130" s="257"/>
      <c r="E130" s="262">
        <f>E131</f>
        <v>56.4</v>
      </c>
      <c r="F130" s="257">
        <f>F131</f>
        <v>57</v>
      </c>
      <c r="G130" s="167">
        <f t="shared" si="18"/>
        <v>0.60000000000000142</v>
      </c>
      <c r="H130" s="219">
        <f t="shared" si="19"/>
        <v>101.06382978723406</v>
      </c>
      <c r="I130" s="203"/>
    </row>
    <row r="131" spans="1:9" s="245" customFormat="1" ht="24.75" customHeight="1">
      <c r="A131" s="268" t="s">
        <v>358</v>
      </c>
      <c r="B131" s="269" t="s">
        <v>260</v>
      </c>
      <c r="C131" s="270">
        <v>1031</v>
      </c>
      <c r="D131" s="263"/>
      <c r="E131" s="264">
        <f>SUM(E132:E135)</f>
        <v>56.4</v>
      </c>
      <c r="F131" s="263">
        <f>F132+F133+F134+F135</f>
        <v>57</v>
      </c>
      <c r="G131" s="230">
        <f t="shared" si="18"/>
        <v>0.60000000000000142</v>
      </c>
      <c r="H131" s="231">
        <f t="shared" si="19"/>
        <v>101.06382978723406</v>
      </c>
      <c r="I131" s="250"/>
    </row>
    <row r="132" spans="1:9" ht="21" customHeight="1">
      <c r="A132" s="266"/>
      <c r="B132" s="190" t="s">
        <v>158</v>
      </c>
      <c r="C132" s="166"/>
      <c r="D132" s="261"/>
      <c r="E132" s="265">
        <v>45</v>
      </c>
      <c r="F132" s="223">
        <v>40.799999999999997</v>
      </c>
      <c r="G132" s="170">
        <f t="shared" si="18"/>
        <v>-4.2000000000000028</v>
      </c>
      <c r="H132" s="219">
        <f t="shared" si="19"/>
        <v>90.666666666666657</v>
      </c>
      <c r="I132" s="203"/>
    </row>
    <row r="133" spans="1:9" ht="22.5" customHeight="1">
      <c r="A133" s="266"/>
      <c r="B133" s="190" t="s">
        <v>159</v>
      </c>
      <c r="C133" s="166"/>
      <c r="D133" s="261"/>
      <c r="E133" s="265">
        <v>0.5</v>
      </c>
      <c r="F133" s="223">
        <v>2</v>
      </c>
      <c r="G133" s="170">
        <f t="shared" si="18"/>
        <v>1.5</v>
      </c>
      <c r="H133" s="219">
        <f t="shared" si="19"/>
        <v>400</v>
      </c>
      <c r="I133" s="203"/>
    </row>
    <row r="134" spans="1:9" ht="22.5" customHeight="1">
      <c r="A134" s="266"/>
      <c r="B134" s="190" t="s">
        <v>160</v>
      </c>
      <c r="C134" s="166"/>
      <c r="D134" s="261"/>
      <c r="E134" s="265">
        <v>10</v>
      </c>
      <c r="F134" s="223">
        <v>13.5</v>
      </c>
      <c r="G134" s="170">
        <f t="shared" ref="G134:G197" si="22">F134-E134</f>
        <v>3.5</v>
      </c>
      <c r="H134" s="219">
        <f t="shared" ref="H134:H197" si="23">(F134/E134)*100</f>
        <v>135</v>
      </c>
      <c r="I134" s="203"/>
    </row>
    <row r="135" spans="1:9" ht="21" customHeight="1">
      <c r="A135" s="266"/>
      <c r="B135" s="190" t="s">
        <v>220</v>
      </c>
      <c r="C135" s="166"/>
      <c r="D135" s="261"/>
      <c r="E135" s="265">
        <v>0.9</v>
      </c>
      <c r="F135" s="223">
        <v>0.7</v>
      </c>
      <c r="G135" s="170">
        <f t="shared" si="22"/>
        <v>-0.20000000000000007</v>
      </c>
      <c r="H135" s="219">
        <f t="shared" si="23"/>
        <v>77.777777777777771</v>
      </c>
      <c r="I135" s="203"/>
    </row>
    <row r="136" spans="1:9" ht="46.5" customHeight="1">
      <c r="A136" s="251" t="s">
        <v>225</v>
      </c>
      <c r="B136" s="193" t="s">
        <v>222</v>
      </c>
      <c r="C136" s="260"/>
      <c r="D136" s="257">
        <f>SUM(D138,D144)</f>
        <v>2116.6000000000004</v>
      </c>
      <c r="E136" s="219">
        <f>SUM(E138,E144)</f>
        <v>2905.1</v>
      </c>
      <c r="F136" s="257">
        <f>SUM(F138,F144)</f>
        <v>1012.8</v>
      </c>
      <c r="G136" s="167">
        <f t="shared" si="22"/>
        <v>-1892.3</v>
      </c>
      <c r="H136" s="219">
        <f t="shared" si="23"/>
        <v>34.862827441396163</v>
      </c>
      <c r="I136" s="203"/>
    </row>
    <row r="137" spans="1:9" ht="29.25" customHeight="1">
      <c r="A137" s="256"/>
      <c r="B137" s="259" t="s">
        <v>93</v>
      </c>
      <c r="C137" s="260"/>
      <c r="D137" s="261"/>
      <c r="E137" s="265"/>
      <c r="F137" s="261"/>
      <c r="G137" s="167"/>
      <c r="H137" s="219"/>
      <c r="I137" s="203"/>
    </row>
    <row r="138" spans="1:9" ht="27" customHeight="1">
      <c r="A138" s="251" t="s">
        <v>227</v>
      </c>
      <c r="B138" s="193" t="s">
        <v>97</v>
      </c>
      <c r="C138" s="166">
        <v>1010</v>
      </c>
      <c r="D138" s="257">
        <f>D139</f>
        <v>942.90000000000009</v>
      </c>
      <c r="E138" s="262">
        <f>E139</f>
        <v>900</v>
      </c>
      <c r="F138" s="257">
        <f>F139</f>
        <v>256.8</v>
      </c>
      <c r="G138" s="167">
        <f t="shared" si="22"/>
        <v>-643.20000000000005</v>
      </c>
      <c r="H138" s="219">
        <f t="shared" si="23"/>
        <v>28.533333333333331</v>
      </c>
      <c r="I138" s="203"/>
    </row>
    <row r="139" spans="1:9" s="245" customFormat="1" ht="27.75" customHeight="1">
      <c r="A139" s="255" t="s">
        <v>228</v>
      </c>
      <c r="B139" s="228" t="s">
        <v>147</v>
      </c>
      <c r="C139" s="270">
        <v>1011</v>
      </c>
      <c r="D139" s="263">
        <f t="shared" ref="D139" si="24">SUM(D140:D142)+D143</f>
        <v>942.90000000000009</v>
      </c>
      <c r="E139" s="263">
        <f>SUM(E140:E143)</f>
        <v>900</v>
      </c>
      <c r="F139" s="263">
        <f t="shared" ref="F139" si="25">SUM(F140:F142)+F143</f>
        <v>256.8</v>
      </c>
      <c r="G139" s="263">
        <f t="shared" si="22"/>
        <v>-643.20000000000005</v>
      </c>
      <c r="H139" s="231">
        <f t="shared" si="23"/>
        <v>28.533333333333331</v>
      </c>
      <c r="I139" s="250"/>
    </row>
    <row r="140" spans="1:9" ht="22.5" customHeight="1">
      <c r="A140" s="256"/>
      <c r="B140" s="197" t="s">
        <v>224</v>
      </c>
      <c r="C140" s="260"/>
      <c r="D140" s="261">
        <v>433.3</v>
      </c>
      <c r="E140" s="265">
        <v>300</v>
      </c>
      <c r="F140" s="261">
        <v>35.799999999999997</v>
      </c>
      <c r="G140" s="170">
        <f t="shared" si="22"/>
        <v>-264.2</v>
      </c>
      <c r="H140" s="223">
        <f t="shared" si="23"/>
        <v>11.933333333333332</v>
      </c>
      <c r="I140" s="203"/>
    </row>
    <row r="141" spans="1:9" ht="23.25" customHeight="1">
      <c r="A141" s="256"/>
      <c r="B141" s="197" t="s">
        <v>189</v>
      </c>
      <c r="C141" s="260"/>
      <c r="D141" s="261">
        <v>444.4</v>
      </c>
      <c r="E141" s="265">
        <v>500</v>
      </c>
      <c r="F141" s="261">
        <v>196.7</v>
      </c>
      <c r="G141" s="170">
        <f t="shared" si="22"/>
        <v>-303.3</v>
      </c>
      <c r="H141" s="223">
        <f t="shared" si="23"/>
        <v>39.339999999999996</v>
      </c>
      <c r="I141" s="203"/>
    </row>
    <row r="142" spans="1:9" ht="25.5" customHeight="1">
      <c r="A142" s="256"/>
      <c r="B142" s="187" t="s">
        <v>149</v>
      </c>
      <c r="C142" s="260"/>
      <c r="D142" s="261">
        <v>15.5</v>
      </c>
      <c r="E142" s="265"/>
      <c r="F142" s="261"/>
      <c r="G142" s="170">
        <f t="shared" si="22"/>
        <v>0</v>
      </c>
      <c r="H142" s="238" t="e">
        <f t="shared" si="23"/>
        <v>#DIV/0!</v>
      </c>
      <c r="I142" s="203"/>
    </row>
    <row r="143" spans="1:9" ht="24.75" customHeight="1">
      <c r="A143" s="256"/>
      <c r="B143" s="197" t="s">
        <v>188</v>
      </c>
      <c r="C143" s="260"/>
      <c r="D143" s="261">
        <v>49.7</v>
      </c>
      <c r="E143" s="265">
        <v>100</v>
      </c>
      <c r="F143" s="261">
        <v>24.3</v>
      </c>
      <c r="G143" s="170">
        <f t="shared" si="22"/>
        <v>-75.7</v>
      </c>
      <c r="H143" s="223">
        <f t="shared" si="23"/>
        <v>24.3</v>
      </c>
      <c r="I143" s="203"/>
    </row>
    <row r="144" spans="1:9" ht="27" customHeight="1">
      <c r="A144" s="251" t="s">
        <v>340</v>
      </c>
      <c r="B144" s="240" t="s">
        <v>100</v>
      </c>
      <c r="C144" s="267">
        <v>1030</v>
      </c>
      <c r="D144" s="257">
        <f>D145</f>
        <v>1173.7</v>
      </c>
      <c r="E144" s="219">
        <f>SUM(E145)</f>
        <v>2005.1</v>
      </c>
      <c r="F144" s="257">
        <f>F145</f>
        <v>756</v>
      </c>
      <c r="G144" s="167">
        <f t="shared" si="22"/>
        <v>-1249.0999999999999</v>
      </c>
      <c r="H144" s="219">
        <f t="shared" si="23"/>
        <v>37.703855169318238</v>
      </c>
      <c r="I144" s="203"/>
    </row>
    <row r="145" spans="1:10" s="245" customFormat="1" ht="24.75" customHeight="1">
      <c r="A145" s="255" t="s">
        <v>341</v>
      </c>
      <c r="B145" s="228" t="s">
        <v>147</v>
      </c>
      <c r="C145" s="270">
        <v>1031</v>
      </c>
      <c r="D145" s="263">
        <f>SUM(D146:D148)</f>
        <v>1173.7</v>
      </c>
      <c r="E145" s="231">
        <f>SUM(E146:E148)</f>
        <v>2005.1</v>
      </c>
      <c r="F145" s="263">
        <f>SUM(F146:F149)</f>
        <v>756</v>
      </c>
      <c r="G145" s="230">
        <f t="shared" si="22"/>
        <v>-1249.0999999999999</v>
      </c>
      <c r="H145" s="231">
        <f t="shared" si="23"/>
        <v>37.703855169318238</v>
      </c>
      <c r="I145" s="250"/>
    </row>
    <row r="146" spans="1:10" ht="22.5" customHeight="1">
      <c r="A146" s="256"/>
      <c r="B146" s="197" t="s">
        <v>188</v>
      </c>
      <c r="C146" s="260"/>
      <c r="D146" s="261">
        <v>1173.7</v>
      </c>
      <c r="E146" s="265">
        <v>2000</v>
      </c>
      <c r="F146" s="261">
        <v>755.9</v>
      </c>
      <c r="G146" s="170">
        <f t="shared" si="22"/>
        <v>-1244.0999999999999</v>
      </c>
      <c r="H146" s="223">
        <f t="shared" si="23"/>
        <v>37.795000000000002</v>
      </c>
      <c r="I146" s="203"/>
    </row>
    <row r="147" spans="1:10" ht="22.5" customHeight="1">
      <c r="A147" s="256"/>
      <c r="B147" s="197" t="s">
        <v>189</v>
      </c>
      <c r="C147" s="260"/>
      <c r="D147" s="261"/>
      <c r="E147" s="265">
        <v>5</v>
      </c>
      <c r="F147" s="261"/>
      <c r="G147" s="170">
        <f t="shared" si="22"/>
        <v>-5</v>
      </c>
      <c r="H147" s="223">
        <f t="shared" si="23"/>
        <v>0</v>
      </c>
      <c r="I147" s="203"/>
    </row>
    <row r="148" spans="1:10" ht="26.25" customHeight="1">
      <c r="A148" s="256"/>
      <c r="B148" s="197" t="s">
        <v>190</v>
      </c>
      <c r="C148" s="260"/>
      <c r="D148" s="261"/>
      <c r="E148" s="265">
        <v>0.1</v>
      </c>
      <c r="F148" s="261"/>
      <c r="G148" s="170">
        <f t="shared" si="22"/>
        <v>-0.1</v>
      </c>
      <c r="H148" s="223">
        <f t="shared" si="23"/>
        <v>0</v>
      </c>
      <c r="I148" s="203"/>
    </row>
    <row r="149" spans="1:10" ht="26.25" customHeight="1">
      <c r="A149" s="256"/>
      <c r="B149" s="197" t="s">
        <v>252</v>
      </c>
      <c r="C149" s="260"/>
      <c r="D149" s="261"/>
      <c r="E149" s="265"/>
      <c r="F149" s="261">
        <v>0.1</v>
      </c>
      <c r="G149" s="170">
        <f t="shared" si="22"/>
        <v>0.1</v>
      </c>
      <c r="H149" s="238" t="e">
        <f t="shared" si="23"/>
        <v>#DIV/0!</v>
      </c>
      <c r="I149" s="203"/>
    </row>
    <row r="150" spans="1:10" ht="23.25" customHeight="1">
      <c r="A150" s="251" t="s">
        <v>230</v>
      </c>
      <c r="B150" s="193" t="s">
        <v>226</v>
      </c>
      <c r="C150" s="260"/>
      <c r="D150" s="257">
        <f t="shared" ref="D150" si="26">SUM(D152)</f>
        <v>525.9</v>
      </c>
      <c r="E150" s="257">
        <f t="shared" ref="E150" si="27">SUM(E152)</f>
        <v>0</v>
      </c>
      <c r="F150" s="257">
        <f>F152+F160</f>
        <v>1063.4999999999998</v>
      </c>
      <c r="G150" s="167">
        <f t="shared" si="22"/>
        <v>1063.4999999999998</v>
      </c>
      <c r="H150" s="238" t="e">
        <f t="shared" si="23"/>
        <v>#DIV/0!</v>
      </c>
      <c r="I150" s="258"/>
      <c r="J150" s="149">
        <v>11.5</v>
      </c>
    </row>
    <row r="151" spans="1:10" ht="24.75" customHeight="1">
      <c r="A151" s="251"/>
      <c r="B151" s="271" t="s">
        <v>93</v>
      </c>
      <c r="C151" s="260"/>
      <c r="D151" s="257"/>
      <c r="E151" s="219"/>
      <c r="F151" s="257"/>
      <c r="G151" s="167">
        <f t="shared" si="22"/>
        <v>0</v>
      </c>
      <c r="H151" s="238" t="e">
        <f t="shared" si="23"/>
        <v>#DIV/0!</v>
      </c>
      <c r="I151" s="258"/>
    </row>
    <row r="152" spans="1:10" ht="29.25" customHeight="1">
      <c r="A152" s="251" t="s">
        <v>231</v>
      </c>
      <c r="B152" s="193" t="s">
        <v>97</v>
      </c>
      <c r="C152" s="166">
        <v>1010</v>
      </c>
      <c r="D152" s="257">
        <f>SUM(D153)</f>
        <v>525.9</v>
      </c>
      <c r="E152" s="219">
        <f t="shared" ref="E152" si="28">SUM(E153)</f>
        <v>0</v>
      </c>
      <c r="F152" s="257">
        <f>F153+F159</f>
        <v>1045.1999999999998</v>
      </c>
      <c r="G152" s="167">
        <f t="shared" si="22"/>
        <v>1045.1999999999998</v>
      </c>
      <c r="H152" s="242" t="e">
        <f t="shared" si="23"/>
        <v>#DIV/0!</v>
      </c>
      <c r="I152" s="203"/>
    </row>
    <row r="153" spans="1:10" ht="28.5" customHeight="1">
      <c r="A153" s="255" t="s">
        <v>287</v>
      </c>
      <c r="B153" s="228" t="s">
        <v>147</v>
      </c>
      <c r="C153" s="229">
        <v>1011</v>
      </c>
      <c r="D153" s="263">
        <f>SUM(D154:D157)</f>
        <v>525.9</v>
      </c>
      <c r="E153" s="231">
        <f>SUM(E155:E155)</f>
        <v>0</v>
      </c>
      <c r="F153" s="263">
        <f>SUM(F154:F158)</f>
        <v>1034.1999999999998</v>
      </c>
      <c r="G153" s="230">
        <f t="shared" si="22"/>
        <v>1034.1999999999998</v>
      </c>
      <c r="H153" s="241" t="e">
        <f t="shared" si="23"/>
        <v>#DIV/0!</v>
      </c>
      <c r="I153" s="203"/>
    </row>
    <row r="154" spans="1:10" ht="24" customHeight="1">
      <c r="A154" s="251"/>
      <c r="B154" s="187" t="s">
        <v>149</v>
      </c>
      <c r="C154" s="166"/>
      <c r="D154" s="261">
        <v>1.4</v>
      </c>
      <c r="E154" s="219"/>
      <c r="F154" s="261">
        <v>2.8</v>
      </c>
      <c r="G154" s="170">
        <f t="shared" si="22"/>
        <v>2.8</v>
      </c>
      <c r="H154" s="238" t="e">
        <f t="shared" si="23"/>
        <v>#DIV/0!</v>
      </c>
      <c r="I154" s="203"/>
    </row>
    <row r="155" spans="1:10" ht="24" customHeight="1">
      <c r="A155" s="251"/>
      <c r="B155" s="191" t="s">
        <v>219</v>
      </c>
      <c r="C155" s="260"/>
      <c r="D155" s="261">
        <v>520</v>
      </c>
      <c r="E155" s="265"/>
      <c r="F155" s="261">
        <v>979.7</v>
      </c>
      <c r="G155" s="170">
        <f t="shared" si="22"/>
        <v>979.7</v>
      </c>
      <c r="H155" s="238" t="e">
        <f t="shared" si="23"/>
        <v>#DIV/0!</v>
      </c>
      <c r="I155" s="203"/>
    </row>
    <row r="156" spans="1:10" ht="24" customHeight="1">
      <c r="A156" s="251"/>
      <c r="B156" s="191" t="s">
        <v>148</v>
      </c>
      <c r="C156" s="260"/>
      <c r="D156" s="261">
        <v>0.1</v>
      </c>
      <c r="E156" s="265"/>
      <c r="F156" s="261"/>
      <c r="G156" s="170">
        <f t="shared" si="22"/>
        <v>0</v>
      </c>
      <c r="H156" s="238" t="e">
        <f t="shared" si="23"/>
        <v>#DIV/0!</v>
      </c>
      <c r="I156" s="203"/>
    </row>
    <row r="157" spans="1:10" ht="18.75" customHeight="1">
      <c r="A157" s="251"/>
      <c r="B157" s="191" t="s">
        <v>286</v>
      </c>
      <c r="C157" s="260"/>
      <c r="D157" s="261">
        <v>4.4000000000000004</v>
      </c>
      <c r="E157" s="265"/>
      <c r="F157" s="261">
        <v>51.1</v>
      </c>
      <c r="G157" s="170">
        <f t="shared" si="22"/>
        <v>51.1</v>
      </c>
      <c r="H157" s="242" t="e">
        <f t="shared" si="23"/>
        <v>#DIV/0!</v>
      </c>
      <c r="I157" s="203"/>
    </row>
    <row r="158" spans="1:10" ht="23.25" customHeight="1">
      <c r="A158" s="256"/>
      <c r="B158" s="191" t="s">
        <v>331</v>
      </c>
      <c r="C158" s="260"/>
      <c r="D158" s="170"/>
      <c r="E158" s="265"/>
      <c r="F158" s="170">
        <v>0.6</v>
      </c>
      <c r="G158" s="170">
        <f t="shared" si="22"/>
        <v>0.6</v>
      </c>
      <c r="H158" s="242" t="e">
        <f t="shared" si="23"/>
        <v>#DIV/0!</v>
      </c>
      <c r="I158" s="203"/>
    </row>
    <row r="159" spans="1:10" ht="23.25" customHeight="1">
      <c r="A159" s="255" t="s">
        <v>359</v>
      </c>
      <c r="B159" s="236" t="s">
        <v>4</v>
      </c>
      <c r="C159" s="270">
        <v>1014</v>
      </c>
      <c r="D159" s="230"/>
      <c r="E159" s="264"/>
      <c r="F159" s="230">
        <v>11</v>
      </c>
      <c r="G159" s="230">
        <f t="shared" si="22"/>
        <v>11</v>
      </c>
      <c r="H159" s="241" t="e">
        <f t="shared" si="23"/>
        <v>#DIV/0!</v>
      </c>
      <c r="I159" s="203"/>
      <c r="J159" s="183" t="s">
        <v>354</v>
      </c>
    </row>
    <row r="160" spans="1:10" ht="22.5" customHeight="1">
      <c r="A160" s="255" t="s">
        <v>288</v>
      </c>
      <c r="B160" s="272" t="s">
        <v>100</v>
      </c>
      <c r="C160" s="270">
        <v>1030</v>
      </c>
      <c r="D160" s="230"/>
      <c r="E160" s="264"/>
      <c r="F160" s="230">
        <f>F161</f>
        <v>18.3</v>
      </c>
      <c r="G160" s="230">
        <f t="shared" si="22"/>
        <v>18.3</v>
      </c>
      <c r="H160" s="241" t="e">
        <f t="shared" si="23"/>
        <v>#DIV/0!</v>
      </c>
      <c r="I160" s="203"/>
    </row>
    <row r="161" spans="1:9" ht="21.75" customHeight="1">
      <c r="A161" s="255" t="s">
        <v>360</v>
      </c>
      <c r="B161" s="228" t="s">
        <v>147</v>
      </c>
      <c r="C161" s="270">
        <v>1031</v>
      </c>
      <c r="D161" s="230"/>
      <c r="E161" s="264"/>
      <c r="F161" s="230">
        <f>F163+F162</f>
        <v>18.3</v>
      </c>
      <c r="G161" s="230">
        <f t="shared" si="22"/>
        <v>18.3</v>
      </c>
      <c r="H161" s="241" t="e">
        <f t="shared" si="23"/>
        <v>#DIV/0!</v>
      </c>
      <c r="I161" s="203"/>
    </row>
    <row r="162" spans="1:9" ht="24" customHeight="1">
      <c r="A162" s="255"/>
      <c r="B162" s="191" t="s">
        <v>331</v>
      </c>
      <c r="C162" s="267"/>
      <c r="D162" s="170"/>
      <c r="E162" s="265"/>
      <c r="F162" s="170">
        <v>0.2</v>
      </c>
      <c r="G162" s="170">
        <f t="shared" si="22"/>
        <v>0.2</v>
      </c>
      <c r="H162" s="242" t="e">
        <f t="shared" si="23"/>
        <v>#DIV/0!</v>
      </c>
      <c r="I162" s="203"/>
    </row>
    <row r="163" spans="1:9" ht="23.25" customHeight="1">
      <c r="A163" s="256"/>
      <c r="B163" s="191" t="s">
        <v>328</v>
      </c>
      <c r="C163" s="260"/>
      <c r="D163" s="170"/>
      <c r="E163" s="265"/>
      <c r="F163" s="170">
        <v>18.100000000000001</v>
      </c>
      <c r="G163" s="170">
        <f t="shared" si="22"/>
        <v>18.100000000000001</v>
      </c>
      <c r="H163" s="242" t="e">
        <f t="shared" si="23"/>
        <v>#DIV/0!</v>
      </c>
      <c r="I163" s="203"/>
    </row>
    <row r="164" spans="1:9" ht="27.75" customHeight="1">
      <c r="A164" s="251" t="s">
        <v>232</v>
      </c>
      <c r="B164" s="252" t="s">
        <v>312</v>
      </c>
      <c r="C164" s="260"/>
      <c r="D164" s="257">
        <f>D166+D169</f>
        <v>11.9</v>
      </c>
      <c r="E164" s="262">
        <f>E166</f>
        <v>0</v>
      </c>
      <c r="F164" s="257">
        <f>F166+F169</f>
        <v>0</v>
      </c>
      <c r="G164" s="167">
        <f t="shared" si="22"/>
        <v>0</v>
      </c>
      <c r="H164" s="242" t="e">
        <f t="shared" si="23"/>
        <v>#DIV/0!</v>
      </c>
      <c r="I164" s="203"/>
    </row>
    <row r="165" spans="1:9" ht="24.75" customHeight="1">
      <c r="A165" s="251"/>
      <c r="B165" s="254" t="s">
        <v>93</v>
      </c>
      <c r="C165" s="260"/>
      <c r="D165" s="257"/>
      <c r="E165" s="262"/>
      <c r="F165" s="257"/>
      <c r="G165" s="167"/>
      <c r="H165" s="242" t="e">
        <f t="shared" si="23"/>
        <v>#DIV/0!</v>
      </c>
      <c r="I165" s="203"/>
    </row>
    <row r="166" spans="1:9" ht="24.75" customHeight="1">
      <c r="A166" s="251" t="s">
        <v>233</v>
      </c>
      <c r="B166" s="193" t="s">
        <v>99</v>
      </c>
      <c r="C166" s="267">
        <v>1020</v>
      </c>
      <c r="D166" s="257">
        <f>D167+D168</f>
        <v>3</v>
      </c>
      <c r="E166" s="262">
        <f>E167+E168</f>
        <v>0</v>
      </c>
      <c r="F166" s="257">
        <f>F167+F168</f>
        <v>0</v>
      </c>
      <c r="G166" s="167">
        <f t="shared" si="22"/>
        <v>0</v>
      </c>
      <c r="H166" s="242" t="e">
        <f t="shared" si="23"/>
        <v>#DIV/0!</v>
      </c>
      <c r="I166" s="203"/>
    </row>
    <row r="167" spans="1:9" s="245" customFormat="1" ht="23.25" customHeight="1">
      <c r="A167" s="255" t="s">
        <v>342</v>
      </c>
      <c r="B167" s="236" t="s">
        <v>2</v>
      </c>
      <c r="C167" s="229">
        <v>1022</v>
      </c>
      <c r="D167" s="263">
        <v>2.5</v>
      </c>
      <c r="E167" s="264"/>
      <c r="F167" s="263"/>
      <c r="G167" s="230">
        <f t="shared" si="22"/>
        <v>0</v>
      </c>
      <c r="H167" s="241" t="e">
        <f t="shared" si="23"/>
        <v>#DIV/0!</v>
      </c>
      <c r="I167" s="250"/>
    </row>
    <row r="168" spans="1:9" s="245" customFormat="1" ht="25.5" customHeight="1">
      <c r="A168" s="255" t="s">
        <v>343</v>
      </c>
      <c r="B168" s="236" t="s">
        <v>3</v>
      </c>
      <c r="C168" s="229">
        <v>1023</v>
      </c>
      <c r="D168" s="263">
        <v>0.5</v>
      </c>
      <c r="E168" s="264"/>
      <c r="F168" s="263"/>
      <c r="G168" s="230">
        <f t="shared" si="22"/>
        <v>0</v>
      </c>
      <c r="H168" s="241" t="e">
        <f t="shared" si="23"/>
        <v>#DIV/0!</v>
      </c>
      <c r="I168" s="250"/>
    </row>
    <row r="169" spans="1:9" ht="25.5" customHeight="1">
      <c r="A169" s="251" t="s">
        <v>327</v>
      </c>
      <c r="B169" s="240" t="s">
        <v>100</v>
      </c>
      <c r="C169" s="267">
        <v>1030</v>
      </c>
      <c r="D169" s="257">
        <f>D170+D171</f>
        <v>8.9</v>
      </c>
      <c r="E169" s="262"/>
      <c r="F169" s="257">
        <f>F170+F171</f>
        <v>0</v>
      </c>
      <c r="G169" s="167">
        <f t="shared" si="22"/>
        <v>0</v>
      </c>
      <c r="H169" s="242" t="e">
        <f t="shared" si="23"/>
        <v>#DIV/0!</v>
      </c>
      <c r="I169" s="203"/>
    </row>
    <row r="170" spans="1:9" s="245" customFormat="1" ht="25.5" customHeight="1">
      <c r="A170" s="255" t="s">
        <v>344</v>
      </c>
      <c r="B170" s="236" t="s">
        <v>2</v>
      </c>
      <c r="C170" s="229">
        <v>1032</v>
      </c>
      <c r="D170" s="263">
        <v>7.3</v>
      </c>
      <c r="E170" s="264"/>
      <c r="F170" s="263"/>
      <c r="G170" s="230">
        <f t="shared" si="22"/>
        <v>0</v>
      </c>
      <c r="H170" s="241" t="e">
        <f t="shared" si="23"/>
        <v>#DIV/0!</v>
      </c>
      <c r="I170" s="250"/>
    </row>
    <row r="171" spans="1:9" s="245" customFormat="1" ht="25.5" customHeight="1">
      <c r="A171" s="255" t="s">
        <v>345</v>
      </c>
      <c r="B171" s="236" t="s">
        <v>3</v>
      </c>
      <c r="C171" s="229">
        <v>1033</v>
      </c>
      <c r="D171" s="263">
        <v>1.6</v>
      </c>
      <c r="E171" s="264"/>
      <c r="F171" s="263"/>
      <c r="G171" s="230">
        <f t="shared" si="22"/>
        <v>0</v>
      </c>
      <c r="H171" s="241" t="e">
        <f t="shared" si="23"/>
        <v>#DIV/0!</v>
      </c>
      <c r="I171" s="250"/>
    </row>
    <row r="172" spans="1:9" ht="30" customHeight="1">
      <c r="A172" s="251" t="s">
        <v>234</v>
      </c>
      <c r="B172" s="193" t="s">
        <v>116</v>
      </c>
      <c r="C172" s="166"/>
      <c r="D172" s="257">
        <f>D178+D174</f>
        <v>63.1</v>
      </c>
      <c r="E172" s="262">
        <f t="shared" ref="E172" si="29">E178</f>
        <v>25.2</v>
      </c>
      <c r="F172" s="257">
        <f>F178+F174</f>
        <v>29.700000000000003</v>
      </c>
      <c r="G172" s="167">
        <f t="shared" si="22"/>
        <v>4.5000000000000036</v>
      </c>
      <c r="H172" s="219">
        <f t="shared" si="23"/>
        <v>117.85714285714289</v>
      </c>
      <c r="I172" s="258"/>
    </row>
    <row r="173" spans="1:9" ht="27.75" customHeight="1">
      <c r="A173" s="251"/>
      <c r="B173" s="271" t="s">
        <v>93</v>
      </c>
      <c r="C173" s="166"/>
      <c r="D173" s="257"/>
      <c r="E173" s="262"/>
      <c r="F173" s="257"/>
      <c r="G173" s="167"/>
      <c r="H173" s="219"/>
      <c r="I173" s="258"/>
    </row>
    <row r="174" spans="1:9" ht="27.75" customHeight="1">
      <c r="A174" s="251" t="s">
        <v>235</v>
      </c>
      <c r="B174" s="193" t="s">
        <v>97</v>
      </c>
      <c r="C174" s="166">
        <v>1010</v>
      </c>
      <c r="D174" s="257">
        <f>D175</f>
        <v>40.200000000000003</v>
      </c>
      <c r="E174" s="262"/>
      <c r="F174" s="257">
        <f>F175+F176</f>
        <v>2.8</v>
      </c>
      <c r="G174" s="167">
        <f t="shared" si="22"/>
        <v>2.8</v>
      </c>
      <c r="H174" s="242" t="e">
        <f t="shared" si="23"/>
        <v>#DIV/0!</v>
      </c>
      <c r="I174" s="258"/>
    </row>
    <row r="175" spans="1:9" s="245" customFormat="1" ht="27.75" customHeight="1">
      <c r="A175" s="255" t="s">
        <v>289</v>
      </c>
      <c r="B175" s="248" t="s">
        <v>3</v>
      </c>
      <c r="C175" s="229">
        <v>1013</v>
      </c>
      <c r="D175" s="263">
        <v>40.200000000000003</v>
      </c>
      <c r="E175" s="264"/>
      <c r="F175" s="263"/>
      <c r="G175" s="230">
        <f t="shared" si="22"/>
        <v>0</v>
      </c>
      <c r="H175" s="241" t="e">
        <f t="shared" si="23"/>
        <v>#DIV/0!</v>
      </c>
      <c r="I175" s="273"/>
    </row>
    <row r="176" spans="1:9" s="245" customFormat="1" ht="27.75" customHeight="1">
      <c r="A176" s="255" t="s">
        <v>290</v>
      </c>
      <c r="B176" s="236" t="s">
        <v>266</v>
      </c>
      <c r="C176" s="229">
        <v>1015</v>
      </c>
      <c r="D176" s="263"/>
      <c r="E176" s="264"/>
      <c r="F176" s="263">
        <f>F177</f>
        <v>2.8</v>
      </c>
      <c r="G176" s="230">
        <f t="shared" si="22"/>
        <v>2.8</v>
      </c>
      <c r="H176" s="241" t="e">
        <f t="shared" si="23"/>
        <v>#DIV/0!</v>
      </c>
      <c r="I176" s="273"/>
    </row>
    <row r="177" spans="1:9" ht="27.75" customHeight="1">
      <c r="A177" s="251"/>
      <c r="B177" s="169" t="s">
        <v>170</v>
      </c>
      <c r="C177" s="166"/>
      <c r="D177" s="257"/>
      <c r="E177" s="262"/>
      <c r="F177" s="261">
        <v>2.8</v>
      </c>
      <c r="G177" s="167">
        <f t="shared" si="22"/>
        <v>2.8</v>
      </c>
      <c r="H177" s="242" t="e">
        <f t="shared" si="23"/>
        <v>#DIV/0!</v>
      </c>
      <c r="I177" s="258"/>
    </row>
    <row r="178" spans="1:9" ht="26.25" customHeight="1">
      <c r="A178" s="251" t="s">
        <v>313</v>
      </c>
      <c r="B178" s="240" t="s">
        <v>100</v>
      </c>
      <c r="C178" s="267">
        <v>1030</v>
      </c>
      <c r="D178" s="257">
        <f t="shared" ref="D178:F178" si="30">SUM(D179)</f>
        <v>22.9</v>
      </c>
      <c r="E178" s="219">
        <f t="shared" si="30"/>
        <v>25.2</v>
      </c>
      <c r="F178" s="257">
        <f t="shared" si="30"/>
        <v>26.900000000000002</v>
      </c>
      <c r="G178" s="167">
        <f t="shared" si="22"/>
        <v>1.7000000000000028</v>
      </c>
      <c r="H178" s="219">
        <f t="shared" si="23"/>
        <v>106.74603174603176</v>
      </c>
      <c r="I178" s="203"/>
    </row>
    <row r="179" spans="1:9" s="245" customFormat="1" ht="29.25" customHeight="1">
      <c r="A179" s="255" t="s">
        <v>314</v>
      </c>
      <c r="B179" s="236" t="s">
        <v>100</v>
      </c>
      <c r="C179" s="270">
        <v>1035</v>
      </c>
      <c r="D179" s="263">
        <f>SUM(D180:D181)</f>
        <v>22.9</v>
      </c>
      <c r="E179" s="263">
        <f>SUM(E180:E181)</f>
        <v>25.2</v>
      </c>
      <c r="F179" s="263">
        <f>SUM(F180:F182)</f>
        <v>26.900000000000002</v>
      </c>
      <c r="G179" s="230">
        <f t="shared" si="22"/>
        <v>1.7000000000000028</v>
      </c>
      <c r="H179" s="231">
        <f t="shared" si="23"/>
        <v>106.74603174603176</v>
      </c>
      <c r="I179" s="250"/>
    </row>
    <row r="180" spans="1:9" ht="27" customHeight="1">
      <c r="A180" s="251"/>
      <c r="B180" s="191" t="s">
        <v>52</v>
      </c>
      <c r="C180" s="267"/>
      <c r="D180" s="261">
        <v>22.5</v>
      </c>
      <c r="E180" s="223">
        <v>25</v>
      </c>
      <c r="F180" s="261">
        <v>25.1</v>
      </c>
      <c r="G180" s="223">
        <f t="shared" si="22"/>
        <v>0.10000000000000142</v>
      </c>
      <c r="H180" s="223">
        <f t="shared" si="23"/>
        <v>100.4</v>
      </c>
      <c r="I180" s="203"/>
    </row>
    <row r="181" spans="1:9" ht="23.25" customHeight="1">
      <c r="A181" s="251"/>
      <c r="B181" s="169" t="s">
        <v>182</v>
      </c>
      <c r="C181" s="166"/>
      <c r="D181" s="261">
        <v>0.4</v>
      </c>
      <c r="E181" s="265">
        <v>0.2</v>
      </c>
      <c r="F181" s="261">
        <v>0.6</v>
      </c>
      <c r="G181" s="170">
        <f t="shared" si="22"/>
        <v>0.39999999999999997</v>
      </c>
      <c r="H181" s="223">
        <f t="shared" si="23"/>
        <v>299.99999999999994</v>
      </c>
      <c r="I181" s="203"/>
    </row>
    <row r="182" spans="1:9" ht="23.25" customHeight="1">
      <c r="A182" s="251"/>
      <c r="B182" s="169" t="s">
        <v>333</v>
      </c>
      <c r="C182" s="166"/>
      <c r="D182" s="261"/>
      <c r="E182" s="265"/>
      <c r="F182" s="261">
        <v>1.2</v>
      </c>
      <c r="G182" s="170">
        <f t="shared" si="22"/>
        <v>1.2</v>
      </c>
      <c r="H182" s="238" t="e">
        <f t="shared" si="23"/>
        <v>#DIV/0!</v>
      </c>
      <c r="I182" s="203"/>
    </row>
    <row r="183" spans="1:9" ht="24.75" customHeight="1">
      <c r="A183" s="251" t="s">
        <v>234</v>
      </c>
      <c r="B183" s="274" t="s">
        <v>308</v>
      </c>
      <c r="C183" s="197"/>
      <c r="D183" s="257">
        <f>D185</f>
        <v>168.8</v>
      </c>
      <c r="E183" s="262">
        <f>E185</f>
        <v>170</v>
      </c>
      <c r="F183" s="257">
        <f>F185</f>
        <v>168.8</v>
      </c>
      <c r="G183" s="167">
        <f t="shared" si="22"/>
        <v>-1.1999999999999886</v>
      </c>
      <c r="H183" s="223">
        <f t="shared" si="23"/>
        <v>99.294117647058826</v>
      </c>
      <c r="I183" s="203"/>
    </row>
    <row r="184" spans="1:9" ht="22.5" customHeight="1">
      <c r="A184" s="256"/>
      <c r="B184" s="259" t="s">
        <v>93</v>
      </c>
      <c r="C184" s="260"/>
      <c r="D184" s="261"/>
      <c r="E184" s="265"/>
      <c r="F184" s="261"/>
      <c r="G184" s="170"/>
      <c r="H184" s="223"/>
      <c r="I184" s="203"/>
    </row>
    <row r="185" spans="1:9" ht="24.75" customHeight="1">
      <c r="A185" s="251" t="s">
        <v>235</v>
      </c>
      <c r="B185" s="274" t="s">
        <v>97</v>
      </c>
      <c r="C185" s="267">
        <v>1010</v>
      </c>
      <c r="D185" s="257">
        <f>D186</f>
        <v>168.8</v>
      </c>
      <c r="E185" s="262">
        <v>170</v>
      </c>
      <c r="F185" s="257">
        <f>F186</f>
        <v>168.8</v>
      </c>
      <c r="G185" s="167">
        <f t="shared" si="22"/>
        <v>-1.1999999999999886</v>
      </c>
      <c r="H185" s="219">
        <f t="shared" si="23"/>
        <v>99.294117647058826</v>
      </c>
      <c r="I185" s="203"/>
    </row>
    <row r="186" spans="1:9" ht="27.75" customHeight="1">
      <c r="A186" s="255" t="s">
        <v>346</v>
      </c>
      <c r="B186" s="275" t="s">
        <v>267</v>
      </c>
      <c r="C186" s="270">
        <v>1014</v>
      </c>
      <c r="D186" s="263">
        <v>168.8</v>
      </c>
      <c r="E186" s="264">
        <v>170</v>
      </c>
      <c r="F186" s="263">
        <v>168.8</v>
      </c>
      <c r="G186" s="230">
        <f t="shared" si="22"/>
        <v>-1.1999999999999886</v>
      </c>
      <c r="H186" s="231">
        <f t="shared" si="23"/>
        <v>99.294117647058826</v>
      </c>
      <c r="I186" s="203"/>
    </row>
    <row r="187" spans="1:9" ht="30" customHeight="1">
      <c r="A187" s="251" t="s">
        <v>291</v>
      </c>
      <c r="B187" s="274" t="s">
        <v>271</v>
      </c>
      <c r="C187" s="197"/>
      <c r="D187" s="257">
        <f t="shared" ref="D187" si="31">SUM(D189,D191)</f>
        <v>135</v>
      </c>
      <c r="E187" s="219">
        <f t="shared" ref="E187:F187" si="32">SUM(E189,E191)</f>
        <v>129.9</v>
      </c>
      <c r="F187" s="257">
        <f t="shared" si="32"/>
        <v>124.3</v>
      </c>
      <c r="G187" s="167">
        <f t="shared" si="22"/>
        <v>-5.6000000000000085</v>
      </c>
      <c r="H187" s="219">
        <f t="shared" si="23"/>
        <v>95.688991531947636</v>
      </c>
      <c r="I187" s="203"/>
    </row>
    <row r="188" spans="1:9" ht="24" customHeight="1">
      <c r="A188" s="256"/>
      <c r="B188" s="259" t="s">
        <v>93</v>
      </c>
      <c r="C188" s="260"/>
      <c r="D188" s="261"/>
      <c r="E188" s="223"/>
      <c r="F188" s="261"/>
      <c r="G188" s="167"/>
      <c r="H188" s="219"/>
      <c r="I188" s="203"/>
    </row>
    <row r="189" spans="1:9" ht="26.25" customHeight="1">
      <c r="A189" s="251" t="s">
        <v>347</v>
      </c>
      <c r="B189" s="274" t="s">
        <v>97</v>
      </c>
      <c r="C189" s="267">
        <v>1010</v>
      </c>
      <c r="D189" s="257">
        <f>D190</f>
        <v>130.1</v>
      </c>
      <c r="E189" s="219">
        <f>E190</f>
        <v>125</v>
      </c>
      <c r="F189" s="257">
        <f>F190</f>
        <v>119.8</v>
      </c>
      <c r="G189" s="167">
        <f t="shared" si="22"/>
        <v>-5.2000000000000028</v>
      </c>
      <c r="H189" s="219">
        <f t="shared" si="23"/>
        <v>95.84</v>
      </c>
      <c r="I189" s="203"/>
    </row>
    <row r="190" spans="1:9" s="245" customFormat="1" ht="27.75" customHeight="1">
      <c r="A190" s="255" t="s">
        <v>363</v>
      </c>
      <c r="B190" s="275" t="s">
        <v>267</v>
      </c>
      <c r="C190" s="270">
        <v>1014</v>
      </c>
      <c r="D190" s="263">
        <f>125.1+5</f>
        <v>130.1</v>
      </c>
      <c r="E190" s="231">
        <v>125</v>
      </c>
      <c r="F190" s="263">
        <v>119.8</v>
      </c>
      <c r="G190" s="230">
        <f t="shared" si="22"/>
        <v>-5.2000000000000028</v>
      </c>
      <c r="H190" s="231">
        <f t="shared" si="23"/>
        <v>95.84</v>
      </c>
      <c r="I190" s="250"/>
    </row>
    <row r="191" spans="1:9" ht="27" customHeight="1">
      <c r="A191" s="251" t="s">
        <v>361</v>
      </c>
      <c r="B191" s="276" t="s">
        <v>100</v>
      </c>
      <c r="C191" s="267">
        <v>1030</v>
      </c>
      <c r="D191" s="257">
        <f>D192</f>
        <v>4.9000000000000004</v>
      </c>
      <c r="E191" s="219">
        <f>E192</f>
        <v>4.9000000000000004</v>
      </c>
      <c r="F191" s="257">
        <f>F192</f>
        <v>4.5</v>
      </c>
      <c r="G191" s="167">
        <f t="shared" si="22"/>
        <v>-0.40000000000000036</v>
      </c>
      <c r="H191" s="219">
        <f t="shared" si="23"/>
        <v>91.836734693877546</v>
      </c>
      <c r="I191" s="277"/>
    </row>
    <row r="192" spans="1:9" s="245" customFormat="1" ht="40.5" customHeight="1">
      <c r="A192" s="255" t="s">
        <v>362</v>
      </c>
      <c r="B192" s="248" t="s">
        <v>236</v>
      </c>
      <c r="C192" s="270">
        <v>1034</v>
      </c>
      <c r="D192" s="263">
        <f>D193</f>
        <v>4.9000000000000004</v>
      </c>
      <c r="E192" s="231">
        <v>4.9000000000000004</v>
      </c>
      <c r="F192" s="263">
        <f>F193</f>
        <v>4.5</v>
      </c>
      <c r="G192" s="230">
        <f t="shared" si="22"/>
        <v>-0.40000000000000036</v>
      </c>
      <c r="H192" s="231">
        <f t="shared" si="23"/>
        <v>91.836734693877546</v>
      </c>
      <c r="I192" s="250"/>
    </row>
    <row r="193" spans="1:9" ht="26.25" customHeight="1">
      <c r="A193" s="256"/>
      <c r="B193" s="169" t="s">
        <v>237</v>
      </c>
      <c r="C193" s="260"/>
      <c r="D193" s="261">
        <v>4.9000000000000004</v>
      </c>
      <c r="E193" s="223">
        <v>4.9000000000000004</v>
      </c>
      <c r="F193" s="261">
        <v>4.5</v>
      </c>
      <c r="G193" s="170">
        <f t="shared" si="22"/>
        <v>-0.40000000000000036</v>
      </c>
      <c r="H193" s="223">
        <f t="shared" si="23"/>
        <v>91.836734693877546</v>
      </c>
      <c r="I193" s="203"/>
    </row>
    <row r="194" spans="1:9" ht="27.75" customHeight="1">
      <c r="A194" s="251" t="s">
        <v>292</v>
      </c>
      <c r="B194" s="193" t="s">
        <v>299</v>
      </c>
      <c r="C194" s="260"/>
      <c r="D194" s="257">
        <f>D196</f>
        <v>252.10000000000002</v>
      </c>
      <c r="E194" s="219">
        <f>E196</f>
        <v>251.5</v>
      </c>
      <c r="F194" s="257">
        <f>F196</f>
        <v>258.09999999999997</v>
      </c>
      <c r="G194" s="167">
        <f t="shared" si="22"/>
        <v>6.5999999999999659</v>
      </c>
      <c r="H194" s="242">
        <f t="shared" si="23"/>
        <v>102.62425447316102</v>
      </c>
      <c r="I194" s="203"/>
    </row>
    <row r="195" spans="1:9" ht="24.75" customHeight="1">
      <c r="A195" s="251"/>
      <c r="B195" s="259" t="s">
        <v>93</v>
      </c>
      <c r="C195" s="260"/>
      <c r="D195" s="257"/>
      <c r="E195" s="223"/>
      <c r="F195" s="257"/>
      <c r="G195" s="170">
        <f t="shared" si="22"/>
        <v>0</v>
      </c>
      <c r="H195" s="242" t="e">
        <f t="shared" si="23"/>
        <v>#DIV/0!</v>
      </c>
      <c r="I195" s="203"/>
    </row>
    <row r="196" spans="1:9" ht="29.25" customHeight="1">
      <c r="A196" s="251" t="s">
        <v>293</v>
      </c>
      <c r="B196" s="193" t="s">
        <v>97</v>
      </c>
      <c r="C196" s="267">
        <v>1010</v>
      </c>
      <c r="D196" s="257">
        <f>D207+D208+D197</f>
        <v>252.10000000000002</v>
      </c>
      <c r="E196" s="219">
        <f>E197+E207+E208+E209</f>
        <v>251.5</v>
      </c>
      <c r="F196" s="257">
        <f>F207+F208+F197</f>
        <v>258.09999999999997</v>
      </c>
      <c r="G196" s="167">
        <f t="shared" si="22"/>
        <v>6.5999999999999659</v>
      </c>
      <c r="H196" s="242">
        <f t="shared" si="23"/>
        <v>102.62425447316102</v>
      </c>
      <c r="I196" s="203"/>
    </row>
    <row r="197" spans="1:9" ht="27.75" customHeight="1">
      <c r="A197" s="255" t="s">
        <v>348</v>
      </c>
      <c r="B197" s="228" t="s">
        <v>147</v>
      </c>
      <c r="C197" s="229">
        <v>1011</v>
      </c>
      <c r="D197" s="263">
        <f>D198+D199+D200+D201+D202+D203+D204</f>
        <v>26.299999999999997</v>
      </c>
      <c r="E197" s="231">
        <f>SUM(E199:E206)</f>
        <v>9.2999999999999989</v>
      </c>
      <c r="F197" s="263">
        <f>F198+F199+F200+F201+F202+F203+F204+F205</f>
        <v>9.8999999999999986</v>
      </c>
      <c r="G197" s="230">
        <f t="shared" si="22"/>
        <v>0.59999999999999964</v>
      </c>
      <c r="H197" s="241">
        <f t="shared" si="23"/>
        <v>106.45161290322579</v>
      </c>
      <c r="I197" s="203"/>
    </row>
    <row r="198" spans="1:9" ht="21.75" customHeight="1">
      <c r="A198" s="255"/>
      <c r="B198" s="187" t="s">
        <v>195</v>
      </c>
      <c r="C198" s="166"/>
      <c r="D198" s="278">
        <v>2.1</v>
      </c>
      <c r="E198" s="231"/>
      <c r="F198" s="278"/>
      <c r="G198" s="230">
        <f t="shared" ref="G198:G215" si="33">F198-E198</f>
        <v>0</v>
      </c>
      <c r="H198" s="241" t="e">
        <f t="shared" ref="H198:H215" si="34">(F198/E198)*100</f>
        <v>#DIV/0!</v>
      </c>
      <c r="I198" s="203"/>
    </row>
    <row r="199" spans="1:9" ht="21.75" customHeight="1">
      <c r="A199" s="255"/>
      <c r="B199" s="187" t="s">
        <v>316</v>
      </c>
      <c r="C199" s="166"/>
      <c r="D199" s="278">
        <v>4.3</v>
      </c>
      <c r="E199" s="231"/>
      <c r="F199" s="278"/>
      <c r="G199" s="230">
        <f t="shared" si="33"/>
        <v>0</v>
      </c>
      <c r="H199" s="241" t="e">
        <f t="shared" si="34"/>
        <v>#DIV/0!</v>
      </c>
      <c r="I199" s="203"/>
    </row>
    <row r="200" spans="1:9" ht="21.75" customHeight="1">
      <c r="A200" s="255"/>
      <c r="B200" s="187" t="s">
        <v>317</v>
      </c>
      <c r="C200" s="166"/>
      <c r="D200" s="278">
        <v>4.3</v>
      </c>
      <c r="E200" s="231"/>
      <c r="F200" s="278"/>
      <c r="G200" s="230">
        <f t="shared" si="33"/>
        <v>0</v>
      </c>
      <c r="H200" s="241" t="e">
        <f t="shared" si="34"/>
        <v>#DIV/0!</v>
      </c>
      <c r="I200" s="203"/>
    </row>
    <row r="201" spans="1:9" ht="21.75" customHeight="1">
      <c r="A201" s="255"/>
      <c r="B201" s="187" t="s">
        <v>318</v>
      </c>
      <c r="C201" s="166"/>
      <c r="D201" s="278">
        <v>6.8</v>
      </c>
      <c r="E201" s="231"/>
      <c r="F201" s="278"/>
      <c r="G201" s="230">
        <f t="shared" si="33"/>
        <v>0</v>
      </c>
      <c r="H201" s="241" t="e">
        <f t="shared" si="34"/>
        <v>#DIV/0!</v>
      </c>
      <c r="I201" s="203"/>
    </row>
    <row r="202" spans="1:9" ht="21.75" customHeight="1">
      <c r="A202" s="255"/>
      <c r="B202" s="190" t="s">
        <v>158</v>
      </c>
      <c r="C202" s="166"/>
      <c r="D202" s="278">
        <v>7.4</v>
      </c>
      <c r="E202" s="239">
        <v>7</v>
      </c>
      <c r="F202" s="278">
        <v>7.1</v>
      </c>
      <c r="G202" s="230">
        <f t="shared" si="33"/>
        <v>9.9999999999999645E-2</v>
      </c>
      <c r="H202" s="241">
        <f t="shared" si="34"/>
        <v>101.42857142857142</v>
      </c>
      <c r="I202" s="203"/>
    </row>
    <row r="203" spans="1:9" ht="21.75" customHeight="1">
      <c r="A203" s="255"/>
      <c r="B203" s="190" t="s">
        <v>159</v>
      </c>
      <c r="C203" s="166"/>
      <c r="D203" s="278">
        <v>0.2</v>
      </c>
      <c r="E203" s="239">
        <v>0.4</v>
      </c>
      <c r="F203" s="278">
        <v>0.3</v>
      </c>
      <c r="G203" s="230">
        <f t="shared" si="33"/>
        <v>-0.10000000000000003</v>
      </c>
      <c r="H203" s="241">
        <f t="shared" si="34"/>
        <v>74.999999999999986</v>
      </c>
      <c r="I203" s="203"/>
    </row>
    <row r="204" spans="1:9" ht="21.75" customHeight="1">
      <c r="A204" s="255"/>
      <c r="B204" s="190" t="s">
        <v>160</v>
      </c>
      <c r="C204" s="166"/>
      <c r="D204" s="278">
        <v>1.2</v>
      </c>
      <c r="E204" s="239">
        <v>1.6</v>
      </c>
      <c r="F204" s="278">
        <v>2.4</v>
      </c>
      <c r="G204" s="230">
        <f t="shared" si="33"/>
        <v>0.79999999999999982</v>
      </c>
      <c r="H204" s="241">
        <f t="shared" si="34"/>
        <v>149.99999999999997</v>
      </c>
      <c r="I204" s="203"/>
    </row>
    <row r="205" spans="1:9" ht="21.75" customHeight="1">
      <c r="A205" s="255"/>
      <c r="B205" s="190" t="s">
        <v>162</v>
      </c>
      <c r="C205" s="166"/>
      <c r="D205" s="278"/>
      <c r="E205" s="239">
        <v>0.2</v>
      </c>
      <c r="F205" s="278">
        <v>0.1</v>
      </c>
      <c r="G205" s="230">
        <f t="shared" si="33"/>
        <v>-0.1</v>
      </c>
      <c r="H205" s="241">
        <f t="shared" si="34"/>
        <v>50</v>
      </c>
      <c r="I205" s="203"/>
    </row>
    <row r="206" spans="1:9" ht="21.75" customHeight="1">
      <c r="A206" s="255"/>
      <c r="B206" s="190" t="s">
        <v>305</v>
      </c>
      <c r="C206" s="166"/>
      <c r="D206" s="278"/>
      <c r="E206" s="239">
        <v>0.1</v>
      </c>
      <c r="F206" s="278"/>
      <c r="G206" s="230">
        <f t="shared" si="33"/>
        <v>-0.1</v>
      </c>
      <c r="H206" s="241">
        <f t="shared" si="34"/>
        <v>0</v>
      </c>
      <c r="I206" s="203"/>
    </row>
    <row r="207" spans="1:9" ht="21.75" customHeight="1">
      <c r="A207" s="255" t="s">
        <v>350</v>
      </c>
      <c r="B207" s="236" t="s">
        <v>2</v>
      </c>
      <c r="C207" s="270">
        <v>1012</v>
      </c>
      <c r="D207" s="263">
        <v>217.5</v>
      </c>
      <c r="E207" s="231">
        <v>196.1</v>
      </c>
      <c r="F207" s="263">
        <v>200.7</v>
      </c>
      <c r="G207" s="230">
        <f t="shared" si="33"/>
        <v>4.5999999999999943</v>
      </c>
      <c r="H207" s="241">
        <f t="shared" si="34"/>
        <v>102.34574196838349</v>
      </c>
      <c r="I207" s="203"/>
    </row>
    <row r="208" spans="1:9" ht="21.75" customHeight="1">
      <c r="A208" s="255" t="s">
        <v>351</v>
      </c>
      <c r="B208" s="236" t="s">
        <v>3</v>
      </c>
      <c r="C208" s="270">
        <v>1013</v>
      </c>
      <c r="D208" s="263">
        <f>48.5-40.2</f>
        <v>8.2999999999999972</v>
      </c>
      <c r="E208" s="231">
        <v>43.1</v>
      </c>
      <c r="F208" s="263">
        <v>47.5</v>
      </c>
      <c r="G208" s="230">
        <f t="shared" si="33"/>
        <v>4.3999999999999986</v>
      </c>
      <c r="H208" s="241">
        <f t="shared" si="34"/>
        <v>110.20881670533642</v>
      </c>
      <c r="I208" s="203"/>
    </row>
    <row r="209" spans="1:9" ht="21.75" customHeight="1">
      <c r="A209" s="255" t="s">
        <v>349</v>
      </c>
      <c r="B209" s="272" t="s">
        <v>266</v>
      </c>
      <c r="C209" s="229">
        <v>1015</v>
      </c>
      <c r="D209" s="278"/>
      <c r="E209" s="231">
        <f>E210</f>
        <v>3</v>
      </c>
      <c r="F209" s="278"/>
      <c r="G209" s="230">
        <f t="shared" si="33"/>
        <v>-3</v>
      </c>
      <c r="H209" s="241">
        <f t="shared" si="34"/>
        <v>0</v>
      </c>
      <c r="I209" s="203"/>
    </row>
    <row r="210" spans="1:9" ht="21.75" customHeight="1">
      <c r="A210" s="255"/>
      <c r="B210" s="190" t="s">
        <v>195</v>
      </c>
      <c r="C210" s="166"/>
      <c r="D210" s="278"/>
      <c r="E210" s="239">
        <v>3</v>
      </c>
      <c r="F210" s="278"/>
      <c r="G210" s="230">
        <f t="shared" si="33"/>
        <v>-3</v>
      </c>
      <c r="H210" s="241">
        <f t="shared" si="34"/>
        <v>0</v>
      </c>
      <c r="I210" s="203"/>
    </row>
    <row r="211" spans="1:9" ht="26.25" customHeight="1">
      <c r="A211" s="251" t="s">
        <v>294</v>
      </c>
      <c r="B211" s="276" t="s">
        <v>329</v>
      </c>
      <c r="C211" s="267"/>
      <c r="D211" s="257">
        <f>D213</f>
        <v>0</v>
      </c>
      <c r="E211" s="223"/>
      <c r="F211" s="257">
        <f>F213</f>
        <v>0.2</v>
      </c>
      <c r="G211" s="167">
        <f t="shared" si="33"/>
        <v>0.2</v>
      </c>
      <c r="H211" s="279" t="e">
        <f t="shared" si="34"/>
        <v>#DIV/0!</v>
      </c>
      <c r="I211" s="203"/>
    </row>
    <row r="212" spans="1:9" ht="26.25" customHeight="1">
      <c r="A212" s="256"/>
      <c r="B212" s="197" t="s">
        <v>93</v>
      </c>
      <c r="C212" s="267"/>
      <c r="D212" s="261"/>
      <c r="E212" s="223"/>
      <c r="F212" s="261"/>
      <c r="G212" s="170"/>
      <c r="H212" s="242"/>
      <c r="I212" s="203"/>
    </row>
    <row r="213" spans="1:9" s="183" customFormat="1" ht="26.25" customHeight="1">
      <c r="A213" s="251" t="s">
        <v>295</v>
      </c>
      <c r="B213" s="240" t="s">
        <v>100</v>
      </c>
      <c r="C213" s="267">
        <v>1030</v>
      </c>
      <c r="D213" s="257">
        <f>D214</f>
        <v>0</v>
      </c>
      <c r="E213" s="219"/>
      <c r="F213" s="257">
        <f>F214</f>
        <v>0.2</v>
      </c>
      <c r="G213" s="167">
        <f t="shared" si="33"/>
        <v>0.2</v>
      </c>
      <c r="H213" s="242" t="e">
        <f t="shared" si="34"/>
        <v>#DIV/0!</v>
      </c>
      <c r="I213" s="277"/>
    </row>
    <row r="214" spans="1:9" s="281" customFormat="1" ht="26.25" customHeight="1">
      <c r="A214" s="255" t="s">
        <v>352</v>
      </c>
      <c r="B214" s="228" t="s">
        <v>147</v>
      </c>
      <c r="C214" s="229">
        <v>1031</v>
      </c>
      <c r="D214" s="263">
        <f>D215</f>
        <v>0</v>
      </c>
      <c r="E214" s="231"/>
      <c r="F214" s="263">
        <f>F215</f>
        <v>0.2</v>
      </c>
      <c r="G214" s="230">
        <f t="shared" si="33"/>
        <v>0.2</v>
      </c>
      <c r="H214" s="241" t="e">
        <f t="shared" si="34"/>
        <v>#DIV/0!</v>
      </c>
      <c r="I214" s="280"/>
    </row>
    <row r="215" spans="1:9" ht="26.25" customHeight="1">
      <c r="A215" s="256"/>
      <c r="B215" s="169" t="s">
        <v>330</v>
      </c>
      <c r="C215" s="260"/>
      <c r="D215" s="261">
        <v>0</v>
      </c>
      <c r="E215" s="223"/>
      <c r="F215" s="261">
        <v>0.2</v>
      </c>
      <c r="G215" s="170">
        <f t="shared" si="33"/>
        <v>0.2</v>
      </c>
      <c r="H215" s="242" t="e">
        <f t="shared" si="34"/>
        <v>#DIV/0!</v>
      </c>
      <c r="I215" s="203"/>
    </row>
    <row r="216" spans="1:9">
      <c r="A216" s="282"/>
      <c r="B216" s="214"/>
      <c r="C216" s="283"/>
      <c r="D216" s="284"/>
      <c r="E216" s="285"/>
      <c r="F216" s="284"/>
      <c r="G216" s="204"/>
      <c r="H216" s="286"/>
      <c r="I216" s="203"/>
    </row>
    <row r="217" spans="1:9">
      <c r="A217" s="203"/>
      <c r="B217" s="214"/>
      <c r="C217" s="287"/>
      <c r="D217" s="288"/>
      <c r="E217" s="289"/>
      <c r="F217" s="290"/>
      <c r="G217" s="290"/>
      <c r="H217" s="289"/>
      <c r="I217" s="203"/>
    </row>
    <row r="218" spans="1:9" ht="19.5">
      <c r="A218" s="203"/>
      <c r="B218" s="291" t="s">
        <v>238</v>
      </c>
      <c r="C218" s="292"/>
      <c r="D218" s="293"/>
      <c r="E218" s="294"/>
      <c r="F218" s="295"/>
      <c r="G218" s="296" t="s">
        <v>279</v>
      </c>
      <c r="H218" s="296"/>
      <c r="I218" s="297"/>
    </row>
    <row r="219" spans="1:9">
      <c r="A219" s="203"/>
      <c r="B219" s="298" t="s">
        <v>10</v>
      </c>
      <c r="C219" s="297"/>
      <c r="D219" s="299" t="s">
        <v>11</v>
      </c>
      <c r="E219" s="299"/>
      <c r="F219" s="300"/>
      <c r="G219" s="301" t="s">
        <v>272</v>
      </c>
      <c r="H219" s="301"/>
      <c r="I219" s="297"/>
    </row>
    <row r="220" spans="1:9">
      <c r="A220" s="203"/>
      <c r="B220" s="214"/>
      <c r="C220" s="287"/>
      <c r="D220" s="288"/>
      <c r="E220" s="290"/>
      <c r="F220" s="290"/>
      <c r="G220" s="290"/>
      <c r="H220" s="289"/>
      <c r="I220" s="203"/>
    </row>
    <row r="221" spans="1:9">
      <c r="B221" s="215"/>
    </row>
    <row r="222" spans="1:9">
      <c r="B222" s="215"/>
    </row>
    <row r="223" spans="1:9">
      <c r="B223" s="215"/>
    </row>
    <row r="224" spans="1:9">
      <c r="B224" s="215"/>
    </row>
    <row r="225" spans="2:2">
      <c r="B225" s="215"/>
    </row>
    <row r="226" spans="2:2">
      <c r="B226" s="215"/>
    </row>
    <row r="227" spans="2:2">
      <c r="B227" s="215"/>
    </row>
    <row r="228" spans="2:2">
      <c r="B228" s="215"/>
    </row>
    <row r="229" spans="2:2">
      <c r="B229" s="215"/>
    </row>
    <row r="230" spans="2:2">
      <c r="B230" s="215"/>
    </row>
    <row r="231" spans="2:2">
      <c r="B231" s="215"/>
    </row>
    <row r="232" spans="2:2">
      <c r="B232" s="215"/>
    </row>
    <row r="233" spans="2:2">
      <c r="B233" s="215"/>
    </row>
    <row r="234" spans="2:2">
      <c r="B234" s="215"/>
    </row>
    <row r="235" spans="2:2">
      <c r="B235" s="215"/>
    </row>
    <row r="236" spans="2:2">
      <c r="B236" s="215"/>
    </row>
    <row r="237" spans="2:2">
      <c r="B237" s="215"/>
    </row>
    <row r="238" spans="2:2">
      <c r="B238" s="215"/>
    </row>
    <row r="239" spans="2:2">
      <c r="B239" s="215"/>
    </row>
    <row r="240" spans="2:2">
      <c r="B240" s="215"/>
    </row>
    <row r="241" spans="2:2">
      <c r="B241" s="215"/>
    </row>
    <row r="242" spans="2:2">
      <c r="B242" s="215"/>
    </row>
  </sheetData>
  <mergeCells count="6">
    <mergeCell ref="D218:E218"/>
    <mergeCell ref="G218:H218"/>
    <mergeCell ref="D219:E219"/>
    <mergeCell ref="B1:H1"/>
    <mergeCell ref="A5:B5"/>
    <mergeCell ref="G219:H219"/>
  </mergeCells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H151"/>
  <sheetViews>
    <sheetView view="pageBreakPreview" zoomScale="80" zoomScaleNormal="100" zoomScaleSheetLayoutView="80" workbookViewId="0">
      <selection sqref="A1:XFD1048576"/>
    </sheetView>
  </sheetViews>
  <sheetFormatPr defaultRowHeight="18.75"/>
  <cols>
    <col min="1" max="1" width="69" style="149" customWidth="1"/>
    <col min="2" max="2" width="12" style="216" customWidth="1"/>
    <col min="3" max="3" width="16.140625" style="216" customWidth="1"/>
    <col min="4" max="4" width="16.7109375" style="216" customWidth="1"/>
    <col min="5" max="5" width="16.140625" style="216" customWidth="1"/>
    <col min="6" max="6" width="16" style="216" customWidth="1"/>
    <col min="7" max="7" width="16.42578125" style="149" customWidth="1"/>
    <col min="8" max="16384" width="9.140625" style="149"/>
  </cols>
  <sheetData>
    <row r="1" spans="1:8" ht="27.75" customHeight="1">
      <c r="A1" s="150" t="s">
        <v>112</v>
      </c>
      <c r="B1" s="150"/>
      <c r="C1" s="150"/>
      <c r="D1" s="150"/>
      <c r="E1" s="150"/>
      <c r="F1" s="150"/>
    </row>
    <row r="2" spans="1:8" ht="19.5" customHeight="1">
      <c r="A2" s="151"/>
      <c r="B2" s="152"/>
      <c r="C2" s="151"/>
      <c r="D2" s="151"/>
      <c r="E2" s="151"/>
      <c r="F2" s="152"/>
      <c r="G2" s="302" t="s">
        <v>72</v>
      </c>
    </row>
    <row r="3" spans="1:8" ht="64.5" customHeight="1">
      <c r="A3" s="153" t="s">
        <v>23</v>
      </c>
      <c r="B3" s="154" t="s">
        <v>5</v>
      </c>
      <c r="C3" s="303" t="s">
        <v>309</v>
      </c>
      <c r="D3" s="303" t="s">
        <v>325</v>
      </c>
      <c r="E3" s="303" t="s">
        <v>326</v>
      </c>
      <c r="F3" s="304" t="s">
        <v>122</v>
      </c>
      <c r="G3" s="305" t="s">
        <v>123</v>
      </c>
    </row>
    <row r="4" spans="1:8" ht="24" customHeight="1">
      <c r="A4" s="157">
        <v>1</v>
      </c>
      <c r="B4" s="156">
        <v>2</v>
      </c>
      <c r="C4" s="156">
        <v>3</v>
      </c>
      <c r="D4" s="156">
        <v>4</v>
      </c>
      <c r="E4" s="156">
        <v>5</v>
      </c>
      <c r="F4" s="156">
        <v>6</v>
      </c>
      <c r="G4" s="157">
        <v>7</v>
      </c>
    </row>
    <row r="5" spans="1:8" ht="48" customHeight="1">
      <c r="A5" s="306" t="s">
        <v>13</v>
      </c>
      <c r="B5" s="307">
        <v>4000</v>
      </c>
      <c r="C5" s="308">
        <f>SUM(C6,C10,)</f>
        <v>102.69999999999999</v>
      </c>
      <c r="D5" s="308">
        <f>SUM(D6,D10,)</f>
        <v>400</v>
      </c>
      <c r="E5" s="308">
        <f>SUM(E6,E10,)</f>
        <v>158.9</v>
      </c>
      <c r="F5" s="308">
        <f>SUM(F6,F10,)</f>
        <v>-241.1</v>
      </c>
      <c r="G5" s="309">
        <f t="shared" ref="G5:G6" si="0">(E5/D5)*100</f>
        <v>39.725000000000001</v>
      </c>
      <c r="H5" s="297"/>
    </row>
    <row r="6" spans="1:8" ht="27.75" customHeight="1">
      <c r="A6" s="252" t="s">
        <v>0</v>
      </c>
      <c r="B6" s="267">
        <v>4020</v>
      </c>
      <c r="C6" s="257">
        <f>SUM(C7:C8)</f>
        <v>81.099999999999994</v>
      </c>
      <c r="D6" s="257">
        <f>SUM(D7:D8)</f>
        <v>0</v>
      </c>
      <c r="E6" s="257">
        <f>SUM(E7:E9)</f>
        <v>158.9</v>
      </c>
      <c r="F6" s="257">
        <f t="shared" ref="F6" si="1">E6-D6</f>
        <v>158.9</v>
      </c>
      <c r="G6" s="310" t="e">
        <f t="shared" si="0"/>
        <v>#DIV/0!</v>
      </c>
      <c r="H6" s="297"/>
    </row>
    <row r="7" spans="1:8" ht="57.75" customHeight="1">
      <c r="A7" s="311" t="s">
        <v>320</v>
      </c>
      <c r="B7" s="260"/>
      <c r="C7" s="261">
        <v>51.1</v>
      </c>
      <c r="D7" s="261"/>
      <c r="E7" s="261"/>
      <c r="F7" s="261">
        <f t="shared" ref="F7:F8" si="2">E7-D7</f>
        <v>0</v>
      </c>
      <c r="G7" s="312" t="e">
        <f t="shared" ref="G7:G9" si="3">(E7/D7)*100</f>
        <v>#DIV/0!</v>
      </c>
      <c r="H7" s="297"/>
    </row>
    <row r="8" spans="1:8" ht="26.25" customHeight="1">
      <c r="A8" s="313" t="s">
        <v>321</v>
      </c>
      <c r="B8" s="260"/>
      <c r="C8" s="261">
        <v>30</v>
      </c>
      <c r="D8" s="261"/>
      <c r="E8" s="261"/>
      <c r="F8" s="261">
        <f t="shared" si="2"/>
        <v>0</v>
      </c>
      <c r="G8" s="312" t="e">
        <f t="shared" si="3"/>
        <v>#DIV/0!</v>
      </c>
      <c r="H8" s="297"/>
    </row>
    <row r="9" spans="1:8" ht="26.25" customHeight="1">
      <c r="A9" s="313" t="s">
        <v>334</v>
      </c>
      <c r="B9" s="260"/>
      <c r="C9" s="261"/>
      <c r="D9" s="261"/>
      <c r="E9" s="261">
        <v>158.9</v>
      </c>
      <c r="F9" s="261"/>
      <c r="G9" s="312" t="e">
        <f t="shared" si="3"/>
        <v>#DIV/0!</v>
      </c>
      <c r="H9" s="297"/>
    </row>
    <row r="10" spans="1:8" ht="42" customHeight="1">
      <c r="A10" s="252" t="s">
        <v>278</v>
      </c>
      <c r="B10" s="314">
        <v>4030</v>
      </c>
      <c r="C10" s="257">
        <v>21.6</v>
      </c>
      <c r="D10" s="257">
        <v>400</v>
      </c>
      <c r="E10" s="257"/>
      <c r="F10" s="257">
        <f t="shared" ref="F10" si="4">E10-D10</f>
        <v>-400</v>
      </c>
      <c r="G10" s="315">
        <f t="shared" ref="G10" si="5">(E10/D10)*100</f>
        <v>0</v>
      </c>
      <c r="H10" s="316"/>
    </row>
    <row r="11" spans="1:8">
      <c r="B11" s="283"/>
      <c r="C11" s="284"/>
      <c r="D11" s="284"/>
      <c r="E11" s="284"/>
      <c r="F11" s="284"/>
      <c r="G11" s="317"/>
      <c r="H11" s="297"/>
    </row>
    <row r="12" spans="1:8" ht="20.25">
      <c r="A12" s="318" t="s">
        <v>238</v>
      </c>
      <c r="B12" s="319"/>
      <c r="C12" s="320"/>
      <c r="D12" s="321"/>
      <c r="E12" s="322"/>
      <c r="F12" s="212" t="s">
        <v>279</v>
      </c>
      <c r="G12" s="212"/>
      <c r="H12" s="316"/>
    </row>
    <row r="13" spans="1:8" ht="20.25">
      <c r="A13" s="298" t="s">
        <v>10</v>
      </c>
      <c r="B13" s="144"/>
      <c r="C13" s="299" t="s">
        <v>11</v>
      </c>
      <c r="D13" s="299"/>
      <c r="E13" s="300"/>
      <c r="F13" s="299" t="s">
        <v>239</v>
      </c>
      <c r="G13" s="299"/>
      <c r="H13" s="299"/>
    </row>
    <row r="15" spans="1:8">
      <c r="A15" s="215"/>
    </row>
    <row r="16" spans="1:8">
      <c r="A16" s="215"/>
    </row>
    <row r="17" spans="1:1">
      <c r="A17" s="215"/>
    </row>
    <row r="18" spans="1:1">
      <c r="A18" s="215"/>
    </row>
    <row r="19" spans="1:1">
      <c r="A19" s="215"/>
    </row>
    <row r="20" spans="1:1">
      <c r="A20" s="215"/>
    </row>
    <row r="21" spans="1:1">
      <c r="A21" s="215"/>
    </row>
    <row r="22" spans="1:1">
      <c r="A22" s="215"/>
    </row>
    <row r="23" spans="1:1">
      <c r="A23" s="215"/>
    </row>
    <row r="24" spans="1:1">
      <c r="A24" s="215"/>
    </row>
    <row r="25" spans="1:1">
      <c r="A25" s="215"/>
    </row>
    <row r="26" spans="1:1">
      <c r="A26" s="215"/>
    </row>
    <row r="27" spans="1:1">
      <c r="A27" s="215"/>
    </row>
    <row r="28" spans="1:1">
      <c r="A28" s="215"/>
    </row>
    <row r="29" spans="1:1">
      <c r="A29" s="215"/>
    </row>
    <row r="30" spans="1:1">
      <c r="A30" s="215"/>
    </row>
    <row r="31" spans="1:1">
      <c r="A31" s="215"/>
    </row>
    <row r="32" spans="1:1">
      <c r="A32" s="215"/>
    </row>
    <row r="33" spans="1:1">
      <c r="A33" s="215"/>
    </row>
    <row r="34" spans="1:1">
      <c r="A34" s="215"/>
    </row>
    <row r="35" spans="1:1">
      <c r="A35" s="215"/>
    </row>
    <row r="36" spans="1:1">
      <c r="A36" s="215"/>
    </row>
    <row r="37" spans="1:1">
      <c r="A37" s="215"/>
    </row>
    <row r="38" spans="1:1">
      <c r="A38" s="215"/>
    </row>
    <row r="39" spans="1:1">
      <c r="A39" s="215"/>
    </row>
    <row r="40" spans="1:1">
      <c r="A40" s="215"/>
    </row>
    <row r="41" spans="1:1">
      <c r="A41" s="215"/>
    </row>
    <row r="42" spans="1:1">
      <c r="A42" s="215"/>
    </row>
    <row r="43" spans="1:1">
      <c r="A43" s="215"/>
    </row>
    <row r="44" spans="1:1">
      <c r="A44" s="215"/>
    </row>
    <row r="45" spans="1:1">
      <c r="A45" s="215"/>
    </row>
    <row r="46" spans="1:1">
      <c r="A46" s="215"/>
    </row>
    <row r="47" spans="1:1">
      <c r="A47" s="215"/>
    </row>
    <row r="48" spans="1:1">
      <c r="A48" s="215"/>
    </row>
    <row r="49" spans="1:1">
      <c r="A49" s="215"/>
    </row>
    <row r="50" spans="1:1">
      <c r="A50" s="215"/>
    </row>
    <row r="51" spans="1:1">
      <c r="A51" s="215"/>
    </row>
    <row r="52" spans="1:1">
      <c r="A52" s="215"/>
    </row>
    <row r="53" spans="1:1">
      <c r="A53" s="215"/>
    </row>
    <row r="54" spans="1:1">
      <c r="A54" s="215"/>
    </row>
    <row r="55" spans="1:1">
      <c r="A55" s="215"/>
    </row>
    <row r="56" spans="1:1">
      <c r="A56" s="215"/>
    </row>
    <row r="57" spans="1:1">
      <c r="A57" s="215"/>
    </row>
    <row r="58" spans="1:1">
      <c r="A58" s="215"/>
    </row>
    <row r="59" spans="1:1">
      <c r="A59" s="215"/>
    </row>
    <row r="60" spans="1:1">
      <c r="A60" s="215"/>
    </row>
    <row r="61" spans="1:1">
      <c r="A61" s="215"/>
    </row>
    <row r="62" spans="1:1">
      <c r="A62" s="215"/>
    </row>
    <row r="63" spans="1:1">
      <c r="A63" s="215"/>
    </row>
    <row r="64" spans="1:1">
      <c r="A64" s="215"/>
    </row>
    <row r="65" spans="1:1">
      <c r="A65" s="215"/>
    </row>
    <row r="66" spans="1:1">
      <c r="A66" s="215"/>
    </row>
    <row r="67" spans="1:1">
      <c r="A67" s="215"/>
    </row>
    <row r="68" spans="1:1">
      <c r="A68" s="215"/>
    </row>
    <row r="69" spans="1:1">
      <c r="A69" s="215"/>
    </row>
    <row r="70" spans="1:1">
      <c r="A70" s="215"/>
    </row>
    <row r="71" spans="1:1">
      <c r="A71" s="215"/>
    </row>
    <row r="72" spans="1:1">
      <c r="A72" s="215"/>
    </row>
    <row r="73" spans="1:1">
      <c r="A73" s="215"/>
    </row>
    <row r="74" spans="1:1">
      <c r="A74" s="215"/>
    </row>
    <row r="75" spans="1:1">
      <c r="A75" s="215"/>
    </row>
    <row r="76" spans="1:1">
      <c r="A76" s="215"/>
    </row>
    <row r="77" spans="1:1">
      <c r="A77" s="215"/>
    </row>
    <row r="78" spans="1:1">
      <c r="A78" s="215"/>
    </row>
    <row r="79" spans="1:1">
      <c r="A79" s="215"/>
    </row>
    <row r="80" spans="1:1">
      <c r="A80" s="215"/>
    </row>
    <row r="81" spans="1:1">
      <c r="A81" s="215"/>
    </row>
    <row r="82" spans="1:1">
      <c r="A82" s="215"/>
    </row>
    <row r="83" spans="1:1">
      <c r="A83" s="215"/>
    </row>
    <row r="84" spans="1:1">
      <c r="A84" s="215"/>
    </row>
    <row r="85" spans="1:1">
      <c r="A85" s="215"/>
    </row>
    <row r="86" spans="1:1">
      <c r="A86" s="215"/>
    </row>
    <row r="87" spans="1:1">
      <c r="A87" s="215"/>
    </row>
    <row r="88" spans="1:1">
      <c r="A88" s="215"/>
    </row>
    <row r="89" spans="1:1">
      <c r="A89" s="215"/>
    </row>
    <row r="90" spans="1:1">
      <c r="A90" s="215"/>
    </row>
    <row r="91" spans="1:1">
      <c r="A91" s="215"/>
    </row>
    <row r="92" spans="1:1">
      <c r="A92" s="215"/>
    </row>
    <row r="93" spans="1:1">
      <c r="A93" s="215"/>
    </row>
    <row r="94" spans="1:1">
      <c r="A94" s="215"/>
    </row>
    <row r="95" spans="1:1">
      <c r="A95" s="215"/>
    </row>
    <row r="96" spans="1:1">
      <c r="A96" s="215"/>
    </row>
    <row r="97" spans="1:1">
      <c r="A97" s="215"/>
    </row>
    <row r="98" spans="1:1">
      <c r="A98" s="215"/>
    </row>
    <row r="99" spans="1:1">
      <c r="A99" s="215"/>
    </row>
    <row r="100" spans="1:1">
      <c r="A100" s="215"/>
    </row>
    <row r="101" spans="1:1">
      <c r="A101" s="215"/>
    </row>
    <row r="102" spans="1:1">
      <c r="A102" s="215"/>
    </row>
    <row r="103" spans="1:1">
      <c r="A103" s="215"/>
    </row>
    <row r="104" spans="1:1">
      <c r="A104" s="215"/>
    </row>
    <row r="105" spans="1:1">
      <c r="A105" s="215"/>
    </row>
    <row r="106" spans="1:1">
      <c r="A106" s="215"/>
    </row>
    <row r="107" spans="1:1">
      <c r="A107" s="215"/>
    </row>
    <row r="108" spans="1:1">
      <c r="A108" s="215"/>
    </row>
    <row r="109" spans="1:1">
      <c r="A109" s="215"/>
    </row>
    <row r="110" spans="1:1">
      <c r="A110" s="215"/>
    </row>
    <row r="111" spans="1:1">
      <c r="A111" s="215"/>
    </row>
    <row r="112" spans="1:1">
      <c r="A112" s="215"/>
    </row>
    <row r="113" spans="1:1">
      <c r="A113" s="215"/>
    </row>
    <row r="114" spans="1:1">
      <c r="A114" s="215"/>
    </row>
    <row r="115" spans="1:1">
      <c r="A115" s="215"/>
    </row>
    <row r="116" spans="1:1">
      <c r="A116" s="215"/>
    </row>
    <row r="117" spans="1:1">
      <c r="A117" s="215"/>
    </row>
    <row r="118" spans="1:1">
      <c r="A118" s="215"/>
    </row>
    <row r="119" spans="1:1">
      <c r="A119" s="215"/>
    </row>
    <row r="120" spans="1:1">
      <c r="A120" s="215"/>
    </row>
    <row r="121" spans="1:1">
      <c r="A121" s="215"/>
    </row>
    <row r="122" spans="1:1">
      <c r="A122" s="215"/>
    </row>
    <row r="123" spans="1:1">
      <c r="A123" s="215"/>
    </row>
    <row r="124" spans="1:1">
      <c r="A124" s="215"/>
    </row>
    <row r="125" spans="1:1">
      <c r="A125" s="215"/>
    </row>
    <row r="126" spans="1:1">
      <c r="A126" s="215"/>
    </row>
    <row r="127" spans="1:1">
      <c r="A127" s="215"/>
    </row>
    <row r="128" spans="1:1">
      <c r="A128" s="215"/>
    </row>
    <row r="129" spans="1:1">
      <c r="A129" s="215"/>
    </row>
    <row r="130" spans="1:1">
      <c r="A130" s="215"/>
    </row>
    <row r="131" spans="1:1">
      <c r="A131" s="215"/>
    </row>
    <row r="132" spans="1:1">
      <c r="A132" s="215"/>
    </row>
    <row r="133" spans="1:1">
      <c r="A133" s="215"/>
    </row>
    <row r="134" spans="1:1">
      <c r="A134" s="215"/>
    </row>
    <row r="135" spans="1:1">
      <c r="A135" s="215"/>
    </row>
    <row r="136" spans="1:1">
      <c r="A136" s="215"/>
    </row>
    <row r="137" spans="1:1">
      <c r="A137" s="215"/>
    </row>
    <row r="138" spans="1:1">
      <c r="A138" s="215"/>
    </row>
    <row r="139" spans="1:1">
      <c r="A139" s="215"/>
    </row>
    <row r="140" spans="1:1">
      <c r="A140" s="215"/>
    </row>
    <row r="141" spans="1:1">
      <c r="A141" s="215"/>
    </row>
    <row r="142" spans="1:1">
      <c r="A142" s="215"/>
    </row>
    <row r="143" spans="1:1">
      <c r="A143" s="215"/>
    </row>
    <row r="144" spans="1:1">
      <c r="A144" s="215"/>
    </row>
    <row r="145" spans="1:1">
      <c r="A145" s="215"/>
    </row>
    <row r="146" spans="1:1">
      <c r="A146" s="215"/>
    </row>
    <row r="147" spans="1:1">
      <c r="A147" s="215"/>
    </row>
    <row r="148" spans="1:1">
      <c r="A148" s="215"/>
    </row>
    <row r="149" spans="1:1">
      <c r="A149" s="215"/>
    </row>
    <row r="150" spans="1:1">
      <c r="A150" s="215"/>
    </row>
    <row r="151" spans="1:1">
      <c r="A151" s="215"/>
    </row>
  </sheetData>
  <mergeCells count="5">
    <mergeCell ref="C12:D12"/>
    <mergeCell ref="C13:D13"/>
    <mergeCell ref="F13:H13"/>
    <mergeCell ref="A1:F1"/>
    <mergeCell ref="F12:G12"/>
  </mergeCells>
  <pageMargins left="0.39370078740157483" right="0.39370078740157483" top="0.78740157480314965" bottom="0.39370078740157483" header="0.19685039370078741" footer="0.19685039370078741"/>
  <pageSetup paperSize="9" scale="87" fitToHeight="3" orientation="landscape" r:id="rId1"/>
  <rowBreaks count="1" manualBreakCount="1">
    <brk id="9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AN32"/>
  <sheetViews>
    <sheetView tabSelected="1"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AB8" sqref="AB8"/>
    </sheetView>
  </sheetViews>
  <sheetFormatPr defaultRowHeight="20.25"/>
  <cols>
    <col min="1" max="1" width="8.28515625" style="7" customWidth="1"/>
    <col min="2" max="2" width="69.85546875" style="7" customWidth="1"/>
    <col min="3" max="3" width="15.5703125" style="7" customWidth="1"/>
    <col min="4" max="4" width="16" style="7" customWidth="1"/>
    <col min="5" max="5" width="11" style="7" hidden="1" customWidth="1"/>
    <col min="6" max="6" width="11.140625" style="7" hidden="1" customWidth="1"/>
    <col min="7" max="7" width="3.85546875" style="7" hidden="1" customWidth="1"/>
    <col min="8" max="8" width="17.140625" style="7" customWidth="1"/>
    <col min="9" max="9" width="16.85546875" style="7" customWidth="1"/>
    <col min="10" max="10" width="16.5703125" style="7" customWidth="1"/>
    <col min="11" max="11" width="16.28515625" style="7" customWidth="1"/>
    <col min="12" max="14" width="11" style="7" hidden="1" customWidth="1"/>
    <col min="15" max="15" width="16.42578125" style="7" customWidth="1"/>
    <col min="16" max="16" width="17" style="7" customWidth="1"/>
    <col min="17" max="17" width="16" style="7" hidden="1" customWidth="1"/>
    <col min="18" max="19" width="11" style="7" hidden="1" customWidth="1"/>
    <col min="20" max="20" width="16.42578125" style="7" customWidth="1"/>
    <col min="21" max="21" width="16.140625" style="7" customWidth="1"/>
    <col min="22" max="22" width="16" style="52" customWidth="1"/>
    <col min="23" max="23" width="16.28515625" style="7" customWidth="1"/>
    <col min="24" max="24" width="14.5703125" style="7" customWidth="1"/>
    <col min="25" max="25" width="15.85546875" style="7" customWidth="1"/>
    <col min="26" max="26" width="15.140625" style="7" customWidth="1"/>
    <col min="27" max="27" width="16" style="7" customWidth="1"/>
    <col min="28" max="28" width="16.5703125" style="7" customWidth="1"/>
    <col min="29" max="29" width="9.140625" style="7"/>
    <col min="30" max="30" width="16.28515625" style="7" customWidth="1"/>
    <col min="31" max="31" width="14.85546875" style="7" customWidth="1"/>
    <col min="32" max="32" width="17.42578125" style="7" customWidth="1"/>
    <col min="33" max="252" width="9.140625" style="7"/>
    <col min="253" max="253" width="8.28515625" style="7" customWidth="1"/>
    <col min="254" max="254" width="26.140625" style="7" customWidth="1"/>
    <col min="255" max="257" width="11.28515625" style="7" customWidth="1"/>
    <col min="258" max="258" width="10.28515625" style="7" customWidth="1"/>
    <col min="259" max="259" width="15.5703125" style="7" customWidth="1"/>
    <col min="260" max="260" width="16" style="7" customWidth="1"/>
    <col min="261" max="263" width="0" style="7" hidden="1" customWidth="1"/>
    <col min="264" max="264" width="17.140625" style="7" customWidth="1"/>
    <col min="265" max="265" width="16.85546875" style="7" customWidth="1"/>
    <col min="266" max="266" width="16.5703125" style="7" customWidth="1"/>
    <col min="267" max="267" width="16.28515625" style="7" customWidth="1"/>
    <col min="268" max="270" width="0" style="7" hidden="1" customWidth="1"/>
    <col min="271" max="271" width="16.42578125" style="7" customWidth="1"/>
    <col min="272" max="272" width="17" style="7" customWidth="1"/>
    <col min="273" max="275" width="0" style="7" hidden="1" customWidth="1"/>
    <col min="276" max="276" width="16.42578125" style="7" customWidth="1"/>
    <col min="277" max="277" width="16.140625" style="7" customWidth="1"/>
    <col min="278" max="278" width="16" style="7" customWidth="1"/>
    <col min="279" max="279" width="16.28515625" style="7" customWidth="1"/>
    <col min="280" max="280" width="14.5703125" style="7" customWidth="1"/>
    <col min="281" max="281" width="15.85546875" style="7" customWidth="1"/>
    <col min="282" max="282" width="15.140625" style="7" customWidth="1"/>
    <col min="283" max="283" width="16" style="7" customWidth="1"/>
    <col min="284" max="284" width="16.5703125" style="7" customWidth="1"/>
    <col min="285" max="508" width="9.140625" style="7"/>
    <col min="509" max="509" width="8.28515625" style="7" customWidth="1"/>
    <col min="510" max="510" width="26.140625" style="7" customWidth="1"/>
    <col min="511" max="513" width="11.28515625" style="7" customWidth="1"/>
    <col min="514" max="514" width="10.28515625" style="7" customWidth="1"/>
    <col min="515" max="515" width="15.5703125" style="7" customWidth="1"/>
    <col min="516" max="516" width="16" style="7" customWidth="1"/>
    <col min="517" max="519" width="0" style="7" hidden="1" customWidth="1"/>
    <col min="520" max="520" width="17.140625" style="7" customWidth="1"/>
    <col min="521" max="521" width="16.85546875" style="7" customWidth="1"/>
    <col min="522" max="522" width="16.5703125" style="7" customWidth="1"/>
    <col min="523" max="523" width="16.28515625" style="7" customWidth="1"/>
    <col min="524" max="526" width="0" style="7" hidden="1" customWidth="1"/>
    <col min="527" max="527" width="16.42578125" style="7" customWidth="1"/>
    <col min="528" max="528" width="17" style="7" customWidth="1"/>
    <col min="529" max="531" width="0" style="7" hidden="1" customWidth="1"/>
    <col min="532" max="532" width="16.42578125" style="7" customWidth="1"/>
    <col min="533" max="533" width="16.140625" style="7" customWidth="1"/>
    <col min="534" max="534" width="16" style="7" customWidth="1"/>
    <col min="535" max="535" width="16.28515625" style="7" customWidth="1"/>
    <col min="536" max="536" width="14.5703125" style="7" customWidth="1"/>
    <col min="537" max="537" width="15.85546875" style="7" customWidth="1"/>
    <col min="538" max="538" width="15.140625" style="7" customWidth="1"/>
    <col min="539" max="539" width="16" style="7" customWidth="1"/>
    <col min="540" max="540" width="16.5703125" style="7" customWidth="1"/>
    <col min="541" max="764" width="9.140625" style="7"/>
    <col min="765" max="765" width="8.28515625" style="7" customWidth="1"/>
    <col min="766" max="766" width="26.140625" style="7" customWidth="1"/>
    <col min="767" max="769" width="11.28515625" style="7" customWidth="1"/>
    <col min="770" max="770" width="10.28515625" style="7" customWidth="1"/>
    <col min="771" max="771" width="15.5703125" style="7" customWidth="1"/>
    <col min="772" max="772" width="16" style="7" customWidth="1"/>
    <col min="773" max="775" width="0" style="7" hidden="1" customWidth="1"/>
    <col min="776" max="776" width="17.140625" style="7" customWidth="1"/>
    <col min="777" max="777" width="16.85546875" style="7" customWidth="1"/>
    <col min="778" max="778" width="16.5703125" style="7" customWidth="1"/>
    <col min="779" max="779" width="16.28515625" style="7" customWidth="1"/>
    <col min="780" max="782" width="0" style="7" hidden="1" customWidth="1"/>
    <col min="783" max="783" width="16.42578125" style="7" customWidth="1"/>
    <col min="784" max="784" width="17" style="7" customWidth="1"/>
    <col min="785" max="787" width="0" style="7" hidden="1" customWidth="1"/>
    <col min="788" max="788" width="16.42578125" style="7" customWidth="1"/>
    <col min="789" max="789" width="16.140625" style="7" customWidth="1"/>
    <col min="790" max="790" width="16" style="7" customWidth="1"/>
    <col min="791" max="791" width="16.28515625" style="7" customWidth="1"/>
    <col min="792" max="792" width="14.5703125" style="7" customWidth="1"/>
    <col min="793" max="793" width="15.85546875" style="7" customWidth="1"/>
    <col min="794" max="794" width="15.140625" style="7" customWidth="1"/>
    <col min="795" max="795" width="16" style="7" customWidth="1"/>
    <col min="796" max="796" width="16.5703125" style="7" customWidth="1"/>
    <col min="797" max="1020" width="9.140625" style="7"/>
    <col min="1021" max="1021" width="8.28515625" style="7" customWidth="1"/>
    <col min="1022" max="1022" width="26.140625" style="7" customWidth="1"/>
    <col min="1023" max="1025" width="11.28515625" style="7" customWidth="1"/>
    <col min="1026" max="1026" width="10.28515625" style="7" customWidth="1"/>
    <col min="1027" max="1027" width="15.5703125" style="7" customWidth="1"/>
    <col min="1028" max="1028" width="16" style="7" customWidth="1"/>
    <col min="1029" max="1031" width="0" style="7" hidden="1" customWidth="1"/>
    <col min="1032" max="1032" width="17.140625" style="7" customWidth="1"/>
    <col min="1033" max="1033" width="16.85546875" style="7" customWidth="1"/>
    <col min="1034" max="1034" width="16.5703125" style="7" customWidth="1"/>
    <col min="1035" max="1035" width="16.28515625" style="7" customWidth="1"/>
    <col min="1036" max="1038" width="0" style="7" hidden="1" customWidth="1"/>
    <col min="1039" max="1039" width="16.42578125" style="7" customWidth="1"/>
    <col min="1040" max="1040" width="17" style="7" customWidth="1"/>
    <col min="1041" max="1043" width="0" style="7" hidden="1" customWidth="1"/>
    <col min="1044" max="1044" width="16.42578125" style="7" customWidth="1"/>
    <col min="1045" max="1045" width="16.140625" style="7" customWidth="1"/>
    <col min="1046" max="1046" width="16" style="7" customWidth="1"/>
    <col min="1047" max="1047" width="16.28515625" style="7" customWidth="1"/>
    <col min="1048" max="1048" width="14.5703125" style="7" customWidth="1"/>
    <col min="1049" max="1049" width="15.85546875" style="7" customWidth="1"/>
    <col min="1050" max="1050" width="15.140625" style="7" customWidth="1"/>
    <col min="1051" max="1051" width="16" style="7" customWidth="1"/>
    <col min="1052" max="1052" width="16.5703125" style="7" customWidth="1"/>
    <col min="1053" max="1276" width="9.140625" style="7"/>
    <col min="1277" max="1277" width="8.28515625" style="7" customWidth="1"/>
    <col min="1278" max="1278" width="26.140625" style="7" customWidth="1"/>
    <col min="1279" max="1281" width="11.28515625" style="7" customWidth="1"/>
    <col min="1282" max="1282" width="10.28515625" style="7" customWidth="1"/>
    <col min="1283" max="1283" width="15.5703125" style="7" customWidth="1"/>
    <col min="1284" max="1284" width="16" style="7" customWidth="1"/>
    <col min="1285" max="1287" width="0" style="7" hidden="1" customWidth="1"/>
    <col min="1288" max="1288" width="17.140625" style="7" customWidth="1"/>
    <col min="1289" max="1289" width="16.85546875" style="7" customWidth="1"/>
    <col min="1290" max="1290" width="16.5703125" style="7" customWidth="1"/>
    <col min="1291" max="1291" width="16.28515625" style="7" customWidth="1"/>
    <col min="1292" max="1294" width="0" style="7" hidden="1" customWidth="1"/>
    <col min="1295" max="1295" width="16.42578125" style="7" customWidth="1"/>
    <col min="1296" max="1296" width="17" style="7" customWidth="1"/>
    <col min="1297" max="1299" width="0" style="7" hidden="1" customWidth="1"/>
    <col min="1300" max="1300" width="16.42578125" style="7" customWidth="1"/>
    <col min="1301" max="1301" width="16.140625" style="7" customWidth="1"/>
    <col min="1302" max="1302" width="16" style="7" customWidth="1"/>
    <col min="1303" max="1303" width="16.28515625" style="7" customWidth="1"/>
    <col min="1304" max="1304" width="14.5703125" style="7" customWidth="1"/>
    <col min="1305" max="1305" width="15.85546875" style="7" customWidth="1"/>
    <col min="1306" max="1306" width="15.140625" style="7" customWidth="1"/>
    <col min="1307" max="1307" width="16" style="7" customWidth="1"/>
    <col min="1308" max="1308" width="16.5703125" style="7" customWidth="1"/>
    <col min="1309" max="1532" width="9.140625" style="7"/>
    <col min="1533" max="1533" width="8.28515625" style="7" customWidth="1"/>
    <col min="1534" max="1534" width="26.140625" style="7" customWidth="1"/>
    <col min="1535" max="1537" width="11.28515625" style="7" customWidth="1"/>
    <col min="1538" max="1538" width="10.28515625" style="7" customWidth="1"/>
    <col min="1539" max="1539" width="15.5703125" style="7" customWidth="1"/>
    <col min="1540" max="1540" width="16" style="7" customWidth="1"/>
    <col min="1541" max="1543" width="0" style="7" hidden="1" customWidth="1"/>
    <col min="1544" max="1544" width="17.140625" style="7" customWidth="1"/>
    <col min="1545" max="1545" width="16.85546875" style="7" customWidth="1"/>
    <col min="1546" max="1546" width="16.5703125" style="7" customWidth="1"/>
    <col min="1547" max="1547" width="16.28515625" style="7" customWidth="1"/>
    <col min="1548" max="1550" width="0" style="7" hidden="1" customWidth="1"/>
    <col min="1551" max="1551" width="16.42578125" style="7" customWidth="1"/>
    <col min="1552" max="1552" width="17" style="7" customWidth="1"/>
    <col min="1553" max="1555" width="0" style="7" hidden="1" customWidth="1"/>
    <col min="1556" max="1556" width="16.42578125" style="7" customWidth="1"/>
    <col min="1557" max="1557" width="16.140625" style="7" customWidth="1"/>
    <col min="1558" max="1558" width="16" style="7" customWidth="1"/>
    <col min="1559" max="1559" width="16.28515625" style="7" customWidth="1"/>
    <col min="1560" max="1560" width="14.5703125" style="7" customWidth="1"/>
    <col min="1561" max="1561" width="15.85546875" style="7" customWidth="1"/>
    <col min="1562" max="1562" width="15.140625" style="7" customWidth="1"/>
    <col min="1563" max="1563" width="16" style="7" customWidth="1"/>
    <col min="1564" max="1564" width="16.5703125" style="7" customWidth="1"/>
    <col min="1565" max="1788" width="9.140625" style="7"/>
    <col min="1789" max="1789" width="8.28515625" style="7" customWidth="1"/>
    <col min="1790" max="1790" width="26.140625" style="7" customWidth="1"/>
    <col min="1791" max="1793" width="11.28515625" style="7" customWidth="1"/>
    <col min="1794" max="1794" width="10.28515625" style="7" customWidth="1"/>
    <col min="1795" max="1795" width="15.5703125" style="7" customWidth="1"/>
    <col min="1796" max="1796" width="16" style="7" customWidth="1"/>
    <col min="1797" max="1799" width="0" style="7" hidden="1" customWidth="1"/>
    <col min="1800" max="1800" width="17.140625" style="7" customWidth="1"/>
    <col min="1801" max="1801" width="16.85546875" style="7" customWidth="1"/>
    <col min="1802" max="1802" width="16.5703125" style="7" customWidth="1"/>
    <col min="1803" max="1803" width="16.28515625" style="7" customWidth="1"/>
    <col min="1804" max="1806" width="0" style="7" hidden="1" customWidth="1"/>
    <col min="1807" max="1807" width="16.42578125" style="7" customWidth="1"/>
    <col min="1808" max="1808" width="17" style="7" customWidth="1"/>
    <col min="1809" max="1811" width="0" style="7" hidden="1" customWidth="1"/>
    <col min="1812" max="1812" width="16.42578125" style="7" customWidth="1"/>
    <col min="1813" max="1813" width="16.140625" style="7" customWidth="1"/>
    <col min="1814" max="1814" width="16" style="7" customWidth="1"/>
    <col min="1815" max="1815" width="16.28515625" style="7" customWidth="1"/>
    <col min="1816" max="1816" width="14.5703125" style="7" customWidth="1"/>
    <col min="1817" max="1817" width="15.85546875" style="7" customWidth="1"/>
    <col min="1818" max="1818" width="15.140625" style="7" customWidth="1"/>
    <col min="1819" max="1819" width="16" style="7" customWidth="1"/>
    <col min="1820" max="1820" width="16.5703125" style="7" customWidth="1"/>
    <col min="1821" max="2044" width="9.140625" style="7"/>
    <col min="2045" max="2045" width="8.28515625" style="7" customWidth="1"/>
    <col min="2046" max="2046" width="26.140625" style="7" customWidth="1"/>
    <col min="2047" max="2049" width="11.28515625" style="7" customWidth="1"/>
    <col min="2050" max="2050" width="10.28515625" style="7" customWidth="1"/>
    <col min="2051" max="2051" width="15.5703125" style="7" customWidth="1"/>
    <col min="2052" max="2052" width="16" style="7" customWidth="1"/>
    <col min="2053" max="2055" width="0" style="7" hidden="1" customWidth="1"/>
    <col min="2056" max="2056" width="17.140625" style="7" customWidth="1"/>
    <col min="2057" max="2057" width="16.85546875" style="7" customWidth="1"/>
    <col min="2058" max="2058" width="16.5703125" style="7" customWidth="1"/>
    <col min="2059" max="2059" width="16.28515625" style="7" customWidth="1"/>
    <col min="2060" max="2062" width="0" style="7" hidden="1" customWidth="1"/>
    <col min="2063" max="2063" width="16.42578125" style="7" customWidth="1"/>
    <col min="2064" max="2064" width="17" style="7" customWidth="1"/>
    <col min="2065" max="2067" width="0" style="7" hidden="1" customWidth="1"/>
    <col min="2068" max="2068" width="16.42578125" style="7" customWidth="1"/>
    <col min="2069" max="2069" width="16.140625" style="7" customWidth="1"/>
    <col min="2070" max="2070" width="16" style="7" customWidth="1"/>
    <col min="2071" max="2071" width="16.28515625" style="7" customWidth="1"/>
    <col min="2072" max="2072" width="14.5703125" style="7" customWidth="1"/>
    <col min="2073" max="2073" width="15.85546875" style="7" customWidth="1"/>
    <col min="2074" max="2074" width="15.140625" style="7" customWidth="1"/>
    <col min="2075" max="2075" width="16" style="7" customWidth="1"/>
    <col min="2076" max="2076" width="16.5703125" style="7" customWidth="1"/>
    <col min="2077" max="2300" width="9.140625" style="7"/>
    <col min="2301" max="2301" width="8.28515625" style="7" customWidth="1"/>
    <col min="2302" max="2302" width="26.140625" style="7" customWidth="1"/>
    <col min="2303" max="2305" width="11.28515625" style="7" customWidth="1"/>
    <col min="2306" max="2306" width="10.28515625" style="7" customWidth="1"/>
    <col min="2307" max="2307" width="15.5703125" style="7" customWidth="1"/>
    <col min="2308" max="2308" width="16" style="7" customWidth="1"/>
    <col min="2309" max="2311" width="0" style="7" hidden="1" customWidth="1"/>
    <col min="2312" max="2312" width="17.140625" style="7" customWidth="1"/>
    <col min="2313" max="2313" width="16.85546875" style="7" customWidth="1"/>
    <col min="2314" max="2314" width="16.5703125" style="7" customWidth="1"/>
    <col min="2315" max="2315" width="16.28515625" style="7" customWidth="1"/>
    <col min="2316" max="2318" width="0" style="7" hidden="1" customWidth="1"/>
    <col min="2319" max="2319" width="16.42578125" style="7" customWidth="1"/>
    <col min="2320" max="2320" width="17" style="7" customWidth="1"/>
    <col min="2321" max="2323" width="0" style="7" hidden="1" customWidth="1"/>
    <col min="2324" max="2324" width="16.42578125" style="7" customWidth="1"/>
    <col min="2325" max="2325" width="16.140625" style="7" customWidth="1"/>
    <col min="2326" max="2326" width="16" style="7" customWidth="1"/>
    <col min="2327" max="2327" width="16.28515625" style="7" customWidth="1"/>
    <col min="2328" max="2328" width="14.5703125" style="7" customWidth="1"/>
    <col min="2329" max="2329" width="15.85546875" style="7" customWidth="1"/>
    <col min="2330" max="2330" width="15.140625" style="7" customWidth="1"/>
    <col min="2331" max="2331" width="16" style="7" customWidth="1"/>
    <col min="2332" max="2332" width="16.5703125" style="7" customWidth="1"/>
    <col min="2333" max="2556" width="9.140625" style="7"/>
    <col min="2557" max="2557" width="8.28515625" style="7" customWidth="1"/>
    <col min="2558" max="2558" width="26.140625" style="7" customWidth="1"/>
    <col min="2559" max="2561" width="11.28515625" style="7" customWidth="1"/>
    <col min="2562" max="2562" width="10.28515625" style="7" customWidth="1"/>
    <col min="2563" max="2563" width="15.5703125" style="7" customWidth="1"/>
    <col min="2564" max="2564" width="16" style="7" customWidth="1"/>
    <col min="2565" max="2567" width="0" style="7" hidden="1" customWidth="1"/>
    <col min="2568" max="2568" width="17.140625" style="7" customWidth="1"/>
    <col min="2569" max="2569" width="16.85546875" style="7" customWidth="1"/>
    <col min="2570" max="2570" width="16.5703125" style="7" customWidth="1"/>
    <col min="2571" max="2571" width="16.28515625" style="7" customWidth="1"/>
    <col min="2572" max="2574" width="0" style="7" hidden="1" customWidth="1"/>
    <col min="2575" max="2575" width="16.42578125" style="7" customWidth="1"/>
    <col min="2576" max="2576" width="17" style="7" customWidth="1"/>
    <col min="2577" max="2579" width="0" style="7" hidden="1" customWidth="1"/>
    <col min="2580" max="2580" width="16.42578125" style="7" customWidth="1"/>
    <col min="2581" max="2581" width="16.140625" style="7" customWidth="1"/>
    <col min="2582" max="2582" width="16" style="7" customWidth="1"/>
    <col min="2583" max="2583" width="16.28515625" style="7" customWidth="1"/>
    <col min="2584" max="2584" width="14.5703125" style="7" customWidth="1"/>
    <col min="2585" max="2585" width="15.85546875" style="7" customWidth="1"/>
    <col min="2586" max="2586" width="15.140625" style="7" customWidth="1"/>
    <col min="2587" max="2587" width="16" style="7" customWidth="1"/>
    <col min="2588" max="2588" width="16.5703125" style="7" customWidth="1"/>
    <col min="2589" max="2812" width="9.140625" style="7"/>
    <col min="2813" max="2813" width="8.28515625" style="7" customWidth="1"/>
    <col min="2814" max="2814" width="26.140625" style="7" customWidth="1"/>
    <col min="2815" max="2817" width="11.28515625" style="7" customWidth="1"/>
    <col min="2818" max="2818" width="10.28515625" style="7" customWidth="1"/>
    <col min="2819" max="2819" width="15.5703125" style="7" customWidth="1"/>
    <col min="2820" max="2820" width="16" style="7" customWidth="1"/>
    <col min="2821" max="2823" width="0" style="7" hidden="1" customWidth="1"/>
    <col min="2824" max="2824" width="17.140625" style="7" customWidth="1"/>
    <col min="2825" max="2825" width="16.85546875" style="7" customWidth="1"/>
    <col min="2826" max="2826" width="16.5703125" style="7" customWidth="1"/>
    <col min="2827" max="2827" width="16.28515625" style="7" customWidth="1"/>
    <col min="2828" max="2830" width="0" style="7" hidden="1" customWidth="1"/>
    <col min="2831" max="2831" width="16.42578125" style="7" customWidth="1"/>
    <col min="2832" max="2832" width="17" style="7" customWidth="1"/>
    <col min="2833" max="2835" width="0" style="7" hidden="1" customWidth="1"/>
    <col min="2836" max="2836" width="16.42578125" style="7" customWidth="1"/>
    <col min="2837" max="2837" width="16.140625" style="7" customWidth="1"/>
    <col min="2838" max="2838" width="16" style="7" customWidth="1"/>
    <col min="2839" max="2839" width="16.28515625" style="7" customWidth="1"/>
    <col min="2840" max="2840" width="14.5703125" style="7" customWidth="1"/>
    <col min="2841" max="2841" width="15.85546875" style="7" customWidth="1"/>
    <col min="2842" max="2842" width="15.140625" style="7" customWidth="1"/>
    <col min="2843" max="2843" width="16" style="7" customWidth="1"/>
    <col min="2844" max="2844" width="16.5703125" style="7" customWidth="1"/>
    <col min="2845" max="3068" width="9.140625" style="7"/>
    <col min="3069" max="3069" width="8.28515625" style="7" customWidth="1"/>
    <col min="3070" max="3070" width="26.140625" style="7" customWidth="1"/>
    <col min="3071" max="3073" width="11.28515625" style="7" customWidth="1"/>
    <col min="3074" max="3074" width="10.28515625" style="7" customWidth="1"/>
    <col min="3075" max="3075" width="15.5703125" style="7" customWidth="1"/>
    <col min="3076" max="3076" width="16" style="7" customWidth="1"/>
    <col min="3077" max="3079" width="0" style="7" hidden="1" customWidth="1"/>
    <col min="3080" max="3080" width="17.140625" style="7" customWidth="1"/>
    <col min="3081" max="3081" width="16.85546875" style="7" customWidth="1"/>
    <col min="3082" max="3082" width="16.5703125" style="7" customWidth="1"/>
    <col min="3083" max="3083" width="16.28515625" style="7" customWidth="1"/>
    <col min="3084" max="3086" width="0" style="7" hidden="1" customWidth="1"/>
    <col min="3087" max="3087" width="16.42578125" style="7" customWidth="1"/>
    <col min="3088" max="3088" width="17" style="7" customWidth="1"/>
    <col min="3089" max="3091" width="0" style="7" hidden="1" customWidth="1"/>
    <col min="3092" max="3092" width="16.42578125" style="7" customWidth="1"/>
    <col min="3093" max="3093" width="16.140625" style="7" customWidth="1"/>
    <col min="3094" max="3094" width="16" style="7" customWidth="1"/>
    <col min="3095" max="3095" width="16.28515625" style="7" customWidth="1"/>
    <col min="3096" max="3096" width="14.5703125" style="7" customWidth="1"/>
    <col min="3097" max="3097" width="15.85546875" style="7" customWidth="1"/>
    <col min="3098" max="3098" width="15.140625" style="7" customWidth="1"/>
    <col min="3099" max="3099" width="16" style="7" customWidth="1"/>
    <col min="3100" max="3100" width="16.5703125" style="7" customWidth="1"/>
    <col min="3101" max="3324" width="9.140625" style="7"/>
    <col min="3325" max="3325" width="8.28515625" style="7" customWidth="1"/>
    <col min="3326" max="3326" width="26.140625" style="7" customWidth="1"/>
    <col min="3327" max="3329" width="11.28515625" style="7" customWidth="1"/>
    <col min="3330" max="3330" width="10.28515625" style="7" customWidth="1"/>
    <col min="3331" max="3331" width="15.5703125" style="7" customWidth="1"/>
    <col min="3332" max="3332" width="16" style="7" customWidth="1"/>
    <col min="3333" max="3335" width="0" style="7" hidden="1" customWidth="1"/>
    <col min="3336" max="3336" width="17.140625" style="7" customWidth="1"/>
    <col min="3337" max="3337" width="16.85546875" style="7" customWidth="1"/>
    <col min="3338" max="3338" width="16.5703125" style="7" customWidth="1"/>
    <col min="3339" max="3339" width="16.28515625" style="7" customWidth="1"/>
    <col min="3340" max="3342" width="0" style="7" hidden="1" customWidth="1"/>
    <col min="3343" max="3343" width="16.42578125" style="7" customWidth="1"/>
    <col min="3344" max="3344" width="17" style="7" customWidth="1"/>
    <col min="3345" max="3347" width="0" style="7" hidden="1" customWidth="1"/>
    <col min="3348" max="3348" width="16.42578125" style="7" customWidth="1"/>
    <col min="3349" max="3349" width="16.140625" style="7" customWidth="1"/>
    <col min="3350" max="3350" width="16" style="7" customWidth="1"/>
    <col min="3351" max="3351" width="16.28515625" style="7" customWidth="1"/>
    <col min="3352" max="3352" width="14.5703125" style="7" customWidth="1"/>
    <col min="3353" max="3353" width="15.85546875" style="7" customWidth="1"/>
    <col min="3354" max="3354" width="15.140625" style="7" customWidth="1"/>
    <col min="3355" max="3355" width="16" style="7" customWidth="1"/>
    <col min="3356" max="3356" width="16.5703125" style="7" customWidth="1"/>
    <col min="3357" max="3580" width="9.140625" style="7"/>
    <col min="3581" max="3581" width="8.28515625" style="7" customWidth="1"/>
    <col min="3582" max="3582" width="26.140625" style="7" customWidth="1"/>
    <col min="3583" max="3585" width="11.28515625" style="7" customWidth="1"/>
    <col min="3586" max="3586" width="10.28515625" style="7" customWidth="1"/>
    <col min="3587" max="3587" width="15.5703125" style="7" customWidth="1"/>
    <col min="3588" max="3588" width="16" style="7" customWidth="1"/>
    <col min="3589" max="3591" width="0" style="7" hidden="1" customWidth="1"/>
    <col min="3592" max="3592" width="17.140625" style="7" customWidth="1"/>
    <col min="3593" max="3593" width="16.85546875" style="7" customWidth="1"/>
    <col min="3594" max="3594" width="16.5703125" style="7" customWidth="1"/>
    <col min="3595" max="3595" width="16.28515625" style="7" customWidth="1"/>
    <col min="3596" max="3598" width="0" style="7" hidden="1" customWidth="1"/>
    <col min="3599" max="3599" width="16.42578125" style="7" customWidth="1"/>
    <col min="3600" max="3600" width="17" style="7" customWidth="1"/>
    <col min="3601" max="3603" width="0" style="7" hidden="1" customWidth="1"/>
    <col min="3604" max="3604" width="16.42578125" style="7" customWidth="1"/>
    <col min="3605" max="3605" width="16.140625" style="7" customWidth="1"/>
    <col min="3606" max="3606" width="16" style="7" customWidth="1"/>
    <col min="3607" max="3607" width="16.28515625" style="7" customWidth="1"/>
    <col min="3608" max="3608" width="14.5703125" style="7" customWidth="1"/>
    <col min="3609" max="3609" width="15.85546875" style="7" customWidth="1"/>
    <col min="3610" max="3610" width="15.140625" style="7" customWidth="1"/>
    <col min="3611" max="3611" width="16" style="7" customWidth="1"/>
    <col min="3612" max="3612" width="16.5703125" style="7" customWidth="1"/>
    <col min="3613" max="3836" width="9.140625" style="7"/>
    <col min="3837" max="3837" width="8.28515625" style="7" customWidth="1"/>
    <col min="3838" max="3838" width="26.140625" style="7" customWidth="1"/>
    <col min="3839" max="3841" width="11.28515625" style="7" customWidth="1"/>
    <col min="3842" max="3842" width="10.28515625" style="7" customWidth="1"/>
    <col min="3843" max="3843" width="15.5703125" style="7" customWidth="1"/>
    <col min="3844" max="3844" width="16" style="7" customWidth="1"/>
    <col min="3845" max="3847" width="0" style="7" hidden="1" customWidth="1"/>
    <col min="3848" max="3848" width="17.140625" style="7" customWidth="1"/>
    <col min="3849" max="3849" width="16.85546875" style="7" customWidth="1"/>
    <col min="3850" max="3850" width="16.5703125" style="7" customWidth="1"/>
    <col min="3851" max="3851" width="16.28515625" style="7" customWidth="1"/>
    <col min="3852" max="3854" width="0" style="7" hidden="1" customWidth="1"/>
    <col min="3855" max="3855" width="16.42578125" style="7" customWidth="1"/>
    <col min="3856" max="3856" width="17" style="7" customWidth="1"/>
    <col min="3857" max="3859" width="0" style="7" hidden="1" customWidth="1"/>
    <col min="3860" max="3860" width="16.42578125" style="7" customWidth="1"/>
    <col min="3861" max="3861" width="16.140625" style="7" customWidth="1"/>
    <col min="3862" max="3862" width="16" style="7" customWidth="1"/>
    <col min="3863" max="3863" width="16.28515625" style="7" customWidth="1"/>
    <col min="3864" max="3864" width="14.5703125" style="7" customWidth="1"/>
    <col min="3865" max="3865" width="15.85546875" style="7" customWidth="1"/>
    <col min="3866" max="3866" width="15.140625" style="7" customWidth="1"/>
    <col min="3867" max="3867" width="16" style="7" customWidth="1"/>
    <col min="3868" max="3868" width="16.5703125" style="7" customWidth="1"/>
    <col min="3869" max="4092" width="9.140625" style="7"/>
    <col min="4093" max="4093" width="8.28515625" style="7" customWidth="1"/>
    <col min="4094" max="4094" width="26.140625" style="7" customWidth="1"/>
    <col min="4095" max="4097" width="11.28515625" style="7" customWidth="1"/>
    <col min="4098" max="4098" width="10.28515625" style="7" customWidth="1"/>
    <col min="4099" max="4099" width="15.5703125" style="7" customWidth="1"/>
    <col min="4100" max="4100" width="16" style="7" customWidth="1"/>
    <col min="4101" max="4103" width="0" style="7" hidden="1" customWidth="1"/>
    <col min="4104" max="4104" width="17.140625" style="7" customWidth="1"/>
    <col min="4105" max="4105" width="16.85546875" style="7" customWidth="1"/>
    <col min="4106" max="4106" width="16.5703125" style="7" customWidth="1"/>
    <col min="4107" max="4107" width="16.28515625" style="7" customWidth="1"/>
    <col min="4108" max="4110" width="0" style="7" hidden="1" customWidth="1"/>
    <col min="4111" max="4111" width="16.42578125" style="7" customWidth="1"/>
    <col min="4112" max="4112" width="17" style="7" customWidth="1"/>
    <col min="4113" max="4115" width="0" style="7" hidden="1" customWidth="1"/>
    <col min="4116" max="4116" width="16.42578125" style="7" customWidth="1"/>
    <col min="4117" max="4117" width="16.140625" style="7" customWidth="1"/>
    <col min="4118" max="4118" width="16" style="7" customWidth="1"/>
    <col min="4119" max="4119" width="16.28515625" style="7" customWidth="1"/>
    <col min="4120" max="4120" width="14.5703125" style="7" customWidth="1"/>
    <col min="4121" max="4121" width="15.85546875" style="7" customWidth="1"/>
    <col min="4122" max="4122" width="15.140625" style="7" customWidth="1"/>
    <col min="4123" max="4123" width="16" style="7" customWidth="1"/>
    <col min="4124" max="4124" width="16.5703125" style="7" customWidth="1"/>
    <col min="4125" max="4348" width="9.140625" style="7"/>
    <col min="4349" max="4349" width="8.28515625" style="7" customWidth="1"/>
    <col min="4350" max="4350" width="26.140625" style="7" customWidth="1"/>
    <col min="4351" max="4353" width="11.28515625" style="7" customWidth="1"/>
    <col min="4354" max="4354" width="10.28515625" style="7" customWidth="1"/>
    <col min="4355" max="4355" width="15.5703125" style="7" customWidth="1"/>
    <col min="4356" max="4356" width="16" style="7" customWidth="1"/>
    <col min="4357" max="4359" width="0" style="7" hidden="1" customWidth="1"/>
    <col min="4360" max="4360" width="17.140625" style="7" customWidth="1"/>
    <col min="4361" max="4361" width="16.85546875" style="7" customWidth="1"/>
    <col min="4362" max="4362" width="16.5703125" style="7" customWidth="1"/>
    <col min="4363" max="4363" width="16.28515625" style="7" customWidth="1"/>
    <col min="4364" max="4366" width="0" style="7" hidden="1" customWidth="1"/>
    <col min="4367" max="4367" width="16.42578125" style="7" customWidth="1"/>
    <col min="4368" max="4368" width="17" style="7" customWidth="1"/>
    <col min="4369" max="4371" width="0" style="7" hidden="1" customWidth="1"/>
    <col min="4372" max="4372" width="16.42578125" style="7" customWidth="1"/>
    <col min="4373" max="4373" width="16.140625" style="7" customWidth="1"/>
    <col min="4374" max="4374" width="16" style="7" customWidth="1"/>
    <col min="4375" max="4375" width="16.28515625" style="7" customWidth="1"/>
    <col min="4376" max="4376" width="14.5703125" style="7" customWidth="1"/>
    <col min="4377" max="4377" width="15.85546875" style="7" customWidth="1"/>
    <col min="4378" max="4378" width="15.140625" style="7" customWidth="1"/>
    <col min="4379" max="4379" width="16" style="7" customWidth="1"/>
    <col min="4380" max="4380" width="16.5703125" style="7" customWidth="1"/>
    <col min="4381" max="4604" width="9.140625" style="7"/>
    <col min="4605" max="4605" width="8.28515625" style="7" customWidth="1"/>
    <col min="4606" max="4606" width="26.140625" style="7" customWidth="1"/>
    <col min="4607" max="4609" width="11.28515625" style="7" customWidth="1"/>
    <col min="4610" max="4610" width="10.28515625" style="7" customWidth="1"/>
    <col min="4611" max="4611" width="15.5703125" style="7" customWidth="1"/>
    <col min="4612" max="4612" width="16" style="7" customWidth="1"/>
    <col min="4613" max="4615" width="0" style="7" hidden="1" customWidth="1"/>
    <col min="4616" max="4616" width="17.140625" style="7" customWidth="1"/>
    <col min="4617" max="4617" width="16.85546875" style="7" customWidth="1"/>
    <col min="4618" max="4618" width="16.5703125" style="7" customWidth="1"/>
    <col min="4619" max="4619" width="16.28515625" style="7" customWidth="1"/>
    <col min="4620" max="4622" width="0" style="7" hidden="1" customWidth="1"/>
    <col min="4623" max="4623" width="16.42578125" style="7" customWidth="1"/>
    <col min="4624" max="4624" width="17" style="7" customWidth="1"/>
    <col min="4625" max="4627" width="0" style="7" hidden="1" customWidth="1"/>
    <col min="4628" max="4628" width="16.42578125" style="7" customWidth="1"/>
    <col min="4629" max="4629" width="16.140625" style="7" customWidth="1"/>
    <col min="4630" max="4630" width="16" style="7" customWidth="1"/>
    <col min="4631" max="4631" width="16.28515625" style="7" customWidth="1"/>
    <col min="4632" max="4632" width="14.5703125" style="7" customWidth="1"/>
    <col min="4633" max="4633" width="15.85546875" style="7" customWidth="1"/>
    <col min="4634" max="4634" width="15.140625" style="7" customWidth="1"/>
    <col min="4635" max="4635" width="16" style="7" customWidth="1"/>
    <col min="4636" max="4636" width="16.5703125" style="7" customWidth="1"/>
    <col min="4637" max="4860" width="9.140625" style="7"/>
    <col min="4861" max="4861" width="8.28515625" style="7" customWidth="1"/>
    <col min="4862" max="4862" width="26.140625" style="7" customWidth="1"/>
    <col min="4863" max="4865" width="11.28515625" style="7" customWidth="1"/>
    <col min="4866" max="4866" width="10.28515625" style="7" customWidth="1"/>
    <col min="4867" max="4867" width="15.5703125" style="7" customWidth="1"/>
    <col min="4868" max="4868" width="16" style="7" customWidth="1"/>
    <col min="4869" max="4871" width="0" style="7" hidden="1" customWidth="1"/>
    <col min="4872" max="4872" width="17.140625" style="7" customWidth="1"/>
    <col min="4873" max="4873" width="16.85546875" style="7" customWidth="1"/>
    <col min="4874" max="4874" width="16.5703125" style="7" customWidth="1"/>
    <col min="4875" max="4875" width="16.28515625" style="7" customWidth="1"/>
    <col min="4876" max="4878" width="0" style="7" hidden="1" customWidth="1"/>
    <col min="4879" max="4879" width="16.42578125" style="7" customWidth="1"/>
    <col min="4880" max="4880" width="17" style="7" customWidth="1"/>
    <col min="4881" max="4883" width="0" style="7" hidden="1" customWidth="1"/>
    <col min="4884" max="4884" width="16.42578125" style="7" customWidth="1"/>
    <col min="4885" max="4885" width="16.140625" style="7" customWidth="1"/>
    <col min="4886" max="4886" width="16" style="7" customWidth="1"/>
    <col min="4887" max="4887" width="16.28515625" style="7" customWidth="1"/>
    <col min="4888" max="4888" width="14.5703125" style="7" customWidth="1"/>
    <col min="4889" max="4889" width="15.85546875" style="7" customWidth="1"/>
    <col min="4890" max="4890" width="15.140625" style="7" customWidth="1"/>
    <col min="4891" max="4891" width="16" style="7" customWidth="1"/>
    <col min="4892" max="4892" width="16.5703125" style="7" customWidth="1"/>
    <col min="4893" max="5116" width="9.140625" style="7"/>
    <col min="5117" max="5117" width="8.28515625" style="7" customWidth="1"/>
    <col min="5118" max="5118" width="26.140625" style="7" customWidth="1"/>
    <col min="5119" max="5121" width="11.28515625" style="7" customWidth="1"/>
    <col min="5122" max="5122" width="10.28515625" style="7" customWidth="1"/>
    <col min="5123" max="5123" width="15.5703125" style="7" customWidth="1"/>
    <col min="5124" max="5124" width="16" style="7" customWidth="1"/>
    <col min="5125" max="5127" width="0" style="7" hidden="1" customWidth="1"/>
    <col min="5128" max="5128" width="17.140625" style="7" customWidth="1"/>
    <col min="5129" max="5129" width="16.85546875" style="7" customWidth="1"/>
    <col min="5130" max="5130" width="16.5703125" style="7" customWidth="1"/>
    <col min="5131" max="5131" width="16.28515625" style="7" customWidth="1"/>
    <col min="5132" max="5134" width="0" style="7" hidden="1" customWidth="1"/>
    <col min="5135" max="5135" width="16.42578125" style="7" customWidth="1"/>
    <col min="5136" max="5136" width="17" style="7" customWidth="1"/>
    <col min="5137" max="5139" width="0" style="7" hidden="1" customWidth="1"/>
    <col min="5140" max="5140" width="16.42578125" style="7" customWidth="1"/>
    <col min="5141" max="5141" width="16.140625" style="7" customWidth="1"/>
    <col min="5142" max="5142" width="16" style="7" customWidth="1"/>
    <col min="5143" max="5143" width="16.28515625" style="7" customWidth="1"/>
    <col min="5144" max="5144" width="14.5703125" style="7" customWidth="1"/>
    <col min="5145" max="5145" width="15.85546875" style="7" customWidth="1"/>
    <col min="5146" max="5146" width="15.140625" style="7" customWidth="1"/>
    <col min="5147" max="5147" width="16" style="7" customWidth="1"/>
    <col min="5148" max="5148" width="16.5703125" style="7" customWidth="1"/>
    <col min="5149" max="5372" width="9.140625" style="7"/>
    <col min="5373" max="5373" width="8.28515625" style="7" customWidth="1"/>
    <col min="5374" max="5374" width="26.140625" style="7" customWidth="1"/>
    <col min="5375" max="5377" width="11.28515625" style="7" customWidth="1"/>
    <col min="5378" max="5378" width="10.28515625" style="7" customWidth="1"/>
    <col min="5379" max="5379" width="15.5703125" style="7" customWidth="1"/>
    <col min="5380" max="5380" width="16" style="7" customWidth="1"/>
    <col min="5381" max="5383" width="0" style="7" hidden="1" customWidth="1"/>
    <col min="5384" max="5384" width="17.140625" style="7" customWidth="1"/>
    <col min="5385" max="5385" width="16.85546875" style="7" customWidth="1"/>
    <col min="5386" max="5386" width="16.5703125" style="7" customWidth="1"/>
    <col min="5387" max="5387" width="16.28515625" style="7" customWidth="1"/>
    <col min="5388" max="5390" width="0" style="7" hidden="1" customWidth="1"/>
    <col min="5391" max="5391" width="16.42578125" style="7" customWidth="1"/>
    <col min="5392" max="5392" width="17" style="7" customWidth="1"/>
    <col min="5393" max="5395" width="0" style="7" hidden="1" customWidth="1"/>
    <col min="5396" max="5396" width="16.42578125" style="7" customWidth="1"/>
    <col min="5397" max="5397" width="16.140625" style="7" customWidth="1"/>
    <col min="5398" max="5398" width="16" style="7" customWidth="1"/>
    <col min="5399" max="5399" width="16.28515625" style="7" customWidth="1"/>
    <col min="5400" max="5400" width="14.5703125" style="7" customWidth="1"/>
    <col min="5401" max="5401" width="15.85546875" style="7" customWidth="1"/>
    <col min="5402" max="5402" width="15.140625" style="7" customWidth="1"/>
    <col min="5403" max="5403" width="16" style="7" customWidth="1"/>
    <col min="5404" max="5404" width="16.5703125" style="7" customWidth="1"/>
    <col min="5405" max="5628" width="9.140625" style="7"/>
    <col min="5629" max="5629" width="8.28515625" style="7" customWidth="1"/>
    <col min="5630" max="5630" width="26.140625" style="7" customWidth="1"/>
    <col min="5631" max="5633" width="11.28515625" style="7" customWidth="1"/>
    <col min="5634" max="5634" width="10.28515625" style="7" customWidth="1"/>
    <col min="5635" max="5635" width="15.5703125" style="7" customWidth="1"/>
    <col min="5636" max="5636" width="16" style="7" customWidth="1"/>
    <col min="5637" max="5639" width="0" style="7" hidden="1" customWidth="1"/>
    <col min="5640" max="5640" width="17.140625" style="7" customWidth="1"/>
    <col min="5641" max="5641" width="16.85546875" style="7" customWidth="1"/>
    <col min="5642" max="5642" width="16.5703125" style="7" customWidth="1"/>
    <col min="5643" max="5643" width="16.28515625" style="7" customWidth="1"/>
    <col min="5644" max="5646" width="0" style="7" hidden="1" customWidth="1"/>
    <col min="5647" max="5647" width="16.42578125" style="7" customWidth="1"/>
    <col min="5648" max="5648" width="17" style="7" customWidth="1"/>
    <col min="5649" max="5651" width="0" style="7" hidden="1" customWidth="1"/>
    <col min="5652" max="5652" width="16.42578125" style="7" customWidth="1"/>
    <col min="5653" max="5653" width="16.140625" style="7" customWidth="1"/>
    <col min="5654" max="5654" width="16" style="7" customWidth="1"/>
    <col min="5655" max="5655" width="16.28515625" style="7" customWidth="1"/>
    <col min="5656" max="5656" width="14.5703125" style="7" customWidth="1"/>
    <col min="5657" max="5657" width="15.85546875" style="7" customWidth="1"/>
    <col min="5658" max="5658" width="15.140625" style="7" customWidth="1"/>
    <col min="5659" max="5659" width="16" style="7" customWidth="1"/>
    <col min="5660" max="5660" width="16.5703125" style="7" customWidth="1"/>
    <col min="5661" max="5884" width="9.140625" style="7"/>
    <col min="5885" max="5885" width="8.28515625" style="7" customWidth="1"/>
    <col min="5886" max="5886" width="26.140625" style="7" customWidth="1"/>
    <col min="5887" max="5889" width="11.28515625" style="7" customWidth="1"/>
    <col min="5890" max="5890" width="10.28515625" style="7" customWidth="1"/>
    <col min="5891" max="5891" width="15.5703125" style="7" customWidth="1"/>
    <col min="5892" max="5892" width="16" style="7" customWidth="1"/>
    <col min="5893" max="5895" width="0" style="7" hidden="1" customWidth="1"/>
    <col min="5896" max="5896" width="17.140625" style="7" customWidth="1"/>
    <col min="5897" max="5897" width="16.85546875" style="7" customWidth="1"/>
    <col min="5898" max="5898" width="16.5703125" style="7" customWidth="1"/>
    <col min="5899" max="5899" width="16.28515625" style="7" customWidth="1"/>
    <col min="5900" max="5902" width="0" style="7" hidden="1" customWidth="1"/>
    <col min="5903" max="5903" width="16.42578125" style="7" customWidth="1"/>
    <col min="5904" max="5904" width="17" style="7" customWidth="1"/>
    <col min="5905" max="5907" width="0" style="7" hidden="1" customWidth="1"/>
    <col min="5908" max="5908" width="16.42578125" style="7" customWidth="1"/>
    <col min="5909" max="5909" width="16.140625" style="7" customWidth="1"/>
    <col min="5910" max="5910" width="16" style="7" customWidth="1"/>
    <col min="5911" max="5911" width="16.28515625" style="7" customWidth="1"/>
    <col min="5912" max="5912" width="14.5703125" style="7" customWidth="1"/>
    <col min="5913" max="5913" width="15.85546875" style="7" customWidth="1"/>
    <col min="5914" max="5914" width="15.140625" style="7" customWidth="1"/>
    <col min="5915" max="5915" width="16" style="7" customWidth="1"/>
    <col min="5916" max="5916" width="16.5703125" style="7" customWidth="1"/>
    <col min="5917" max="6140" width="9.140625" style="7"/>
    <col min="6141" max="6141" width="8.28515625" style="7" customWidth="1"/>
    <col min="6142" max="6142" width="26.140625" style="7" customWidth="1"/>
    <col min="6143" max="6145" width="11.28515625" style="7" customWidth="1"/>
    <col min="6146" max="6146" width="10.28515625" style="7" customWidth="1"/>
    <col min="6147" max="6147" width="15.5703125" style="7" customWidth="1"/>
    <col min="6148" max="6148" width="16" style="7" customWidth="1"/>
    <col min="6149" max="6151" width="0" style="7" hidden="1" customWidth="1"/>
    <col min="6152" max="6152" width="17.140625" style="7" customWidth="1"/>
    <col min="6153" max="6153" width="16.85546875" style="7" customWidth="1"/>
    <col min="6154" max="6154" width="16.5703125" style="7" customWidth="1"/>
    <col min="6155" max="6155" width="16.28515625" style="7" customWidth="1"/>
    <col min="6156" max="6158" width="0" style="7" hidden="1" customWidth="1"/>
    <col min="6159" max="6159" width="16.42578125" style="7" customWidth="1"/>
    <col min="6160" max="6160" width="17" style="7" customWidth="1"/>
    <col min="6161" max="6163" width="0" style="7" hidden="1" customWidth="1"/>
    <col min="6164" max="6164" width="16.42578125" style="7" customWidth="1"/>
    <col min="6165" max="6165" width="16.140625" style="7" customWidth="1"/>
    <col min="6166" max="6166" width="16" style="7" customWidth="1"/>
    <col min="6167" max="6167" width="16.28515625" style="7" customWidth="1"/>
    <col min="6168" max="6168" width="14.5703125" style="7" customWidth="1"/>
    <col min="6169" max="6169" width="15.85546875" style="7" customWidth="1"/>
    <col min="6170" max="6170" width="15.140625" style="7" customWidth="1"/>
    <col min="6171" max="6171" width="16" style="7" customWidth="1"/>
    <col min="6172" max="6172" width="16.5703125" style="7" customWidth="1"/>
    <col min="6173" max="6396" width="9.140625" style="7"/>
    <col min="6397" max="6397" width="8.28515625" style="7" customWidth="1"/>
    <col min="6398" max="6398" width="26.140625" style="7" customWidth="1"/>
    <col min="6399" max="6401" width="11.28515625" style="7" customWidth="1"/>
    <col min="6402" max="6402" width="10.28515625" style="7" customWidth="1"/>
    <col min="6403" max="6403" width="15.5703125" style="7" customWidth="1"/>
    <col min="6404" max="6404" width="16" style="7" customWidth="1"/>
    <col min="6405" max="6407" width="0" style="7" hidden="1" customWidth="1"/>
    <col min="6408" max="6408" width="17.140625" style="7" customWidth="1"/>
    <col min="6409" max="6409" width="16.85546875" style="7" customWidth="1"/>
    <col min="6410" max="6410" width="16.5703125" style="7" customWidth="1"/>
    <col min="6411" max="6411" width="16.28515625" style="7" customWidth="1"/>
    <col min="6412" max="6414" width="0" style="7" hidden="1" customWidth="1"/>
    <col min="6415" max="6415" width="16.42578125" style="7" customWidth="1"/>
    <col min="6416" max="6416" width="17" style="7" customWidth="1"/>
    <col min="6417" max="6419" width="0" style="7" hidden="1" customWidth="1"/>
    <col min="6420" max="6420" width="16.42578125" style="7" customWidth="1"/>
    <col min="6421" max="6421" width="16.140625" style="7" customWidth="1"/>
    <col min="6422" max="6422" width="16" style="7" customWidth="1"/>
    <col min="6423" max="6423" width="16.28515625" style="7" customWidth="1"/>
    <col min="6424" max="6424" width="14.5703125" style="7" customWidth="1"/>
    <col min="6425" max="6425" width="15.85546875" style="7" customWidth="1"/>
    <col min="6426" max="6426" width="15.140625" style="7" customWidth="1"/>
    <col min="6427" max="6427" width="16" style="7" customWidth="1"/>
    <col min="6428" max="6428" width="16.5703125" style="7" customWidth="1"/>
    <col min="6429" max="6652" width="9.140625" style="7"/>
    <col min="6653" max="6653" width="8.28515625" style="7" customWidth="1"/>
    <col min="6654" max="6654" width="26.140625" style="7" customWidth="1"/>
    <col min="6655" max="6657" width="11.28515625" style="7" customWidth="1"/>
    <col min="6658" max="6658" width="10.28515625" style="7" customWidth="1"/>
    <col min="6659" max="6659" width="15.5703125" style="7" customWidth="1"/>
    <col min="6660" max="6660" width="16" style="7" customWidth="1"/>
    <col min="6661" max="6663" width="0" style="7" hidden="1" customWidth="1"/>
    <col min="6664" max="6664" width="17.140625" style="7" customWidth="1"/>
    <col min="6665" max="6665" width="16.85546875" style="7" customWidth="1"/>
    <col min="6666" max="6666" width="16.5703125" style="7" customWidth="1"/>
    <col min="6667" max="6667" width="16.28515625" style="7" customWidth="1"/>
    <col min="6668" max="6670" width="0" style="7" hidden="1" customWidth="1"/>
    <col min="6671" max="6671" width="16.42578125" style="7" customWidth="1"/>
    <col min="6672" max="6672" width="17" style="7" customWidth="1"/>
    <col min="6673" max="6675" width="0" style="7" hidden="1" customWidth="1"/>
    <col min="6676" max="6676" width="16.42578125" style="7" customWidth="1"/>
    <col min="6677" max="6677" width="16.140625" style="7" customWidth="1"/>
    <col min="6678" max="6678" width="16" style="7" customWidth="1"/>
    <col min="6679" max="6679" width="16.28515625" style="7" customWidth="1"/>
    <col min="6680" max="6680" width="14.5703125" style="7" customWidth="1"/>
    <col min="6681" max="6681" width="15.85546875" style="7" customWidth="1"/>
    <col min="6682" max="6682" width="15.140625" style="7" customWidth="1"/>
    <col min="6683" max="6683" width="16" style="7" customWidth="1"/>
    <col min="6684" max="6684" width="16.5703125" style="7" customWidth="1"/>
    <col min="6685" max="6908" width="9.140625" style="7"/>
    <col min="6909" max="6909" width="8.28515625" style="7" customWidth="1"/>
    <col min="6910" max="6910" width="26.140625" style="7" customWidth="1"/>
    <col min="6911" max="6913" width="11.28515625" style="7" customWidth="1"/>
    <col min="6914" max="6914" width="10.28515625" style="7" customWidth="1"/>
    <col min="6915" max="6915" width="15.5703125" style="7" customWidth="1"/>
    <col min="6916" max="6916" width="16" style="7" customWidth="1"/>
    <col min="6917" max="6919" width="0" style="7" hidden="1" customWidth="1"/>
    <col min="6920" max="6920" width="17.140625" style="7" customWidth="1"/>
    <col min="6921" max="6921" width="16.85546875" style="7" customWidth="1"/>
    <col min="6922" max="6922" width="16.5703125" style="7" customWidth="1"/>
    <col min="6923" max="6923" width="16.28515625" style="7" customWidth="1"/>
    <col min="6924" max="6926" width="0" style="7" hidden="1" customWidth="1"/>
    <col min="6927" max="6927" width="16.42578125" style="7" customWidth="1"/>
    <col min="6928" max="6928" width="17" style="7" customWidth="1"/>
    <col min="6929" max="6931" width="0" style="7" hidden="1" customWidth="1"/>
    <col min="6932" max="6932" width="16.42578125" style="7" customWidth="1"/>
    <col min="6933" max="6933" width="16.140625" style="7" customWidth="1"/>
    <col min="6934" max="6934" width="16" style="7" customWidth="1"/>
    <col min="6935" max="6935" width="16.28515625" style="7" customWidth="1"/>
    <col min="6936" max="6936" width="14.5703125" style="7" customWidth="1"/>
    <col min="6937" max="6937" width="15.85546875" style="7" customWidth="1"/>
    <col min="6938" max="6938" width="15.140625" style="7" customWidth="1"/>
    <col min="6939" max="6939" width="16" style="7" customWidth="1"/>
    <col min="6940" max="6940" width="16.5703125" style="7" customWidth="1"/>
    <col min="6941" max="7164" width="9.140625" style="7"/>
    <col min="7165" max="7165" width="8.28515625" style="7" customWidth="1"/>
    <col min="7166" max="7166" width="26.140625" style="7" customWidth="1"/>
    <col min="7167" max="7169" width="11.28515625" style="7" customWidth="1"/>
    <col min="7170" max="7170" width="10.28515625" style="7" customWidth="1"/>
    <col min="7171" max="7171" width="15.5703125" style="7" customWidth="1"/>
    <col min="7172" max="7172" width="16" style="7" customWidth="1"/>
    <col min="7173" max="7175" width="0" style="7" hidden="1" customWidth="1"/>
    <col min="7176" max="7176" width="17.140625" style="7" customWidth="1"/>
    <col min="7177" max="7177" width="16.85546875" style="7" customWidth="1"/>
    <col min="7178" max="7178" width="16.5703125" style="7" customWidth="1"/>
    <col min="7179" max="7179" width="16.28515625" style="7" customWidth="1"/>
    <col min="7180" max="7182" width="0" style="7" hidden="1" customWidth="1"/>
    <col min="7183" max="7183" width="16.42578125" style="7" customWidth="1"/>
    <col min="7184" max="7184" width="17" style="7" customWidth="1"/>
    <col min="7185" max="7187" width="0" style="7" hidden="1" customWidth="1"/>
    <col min="7188" max="7188" width="16.42578125" style="7" customWidth="1"/>
    <col min="7189" max="7189" width="16.140625" style="7" customWidth="1"/>
    <col min="7190" max="7190" width="16" style="7" customWidth="1"/>
    <col min="7191" max="7191" width="16.28515625" style="7" customWidth="1"/>
    <col min="7192" max="7192" width="14.5703125" style="7" customWidth="1"/>
    <col min="7193" max="7193" width="15.85546875" style="7" customWidth="1"/>
    <col min="7194" max="7194" width="15.140625" style="7" customWidth="1"/>
    <col min="7195" max="7195" width="16" style="7" customWidth="1"/>
    <col min="7196" max="7196" width="16.5703125" style="7" customWidth="1"/>
    <col min="7197" max="7420" width="9.140625" style="7"/>
    <col min="7421" max="7421" width="8.28515625" style="7" customWidth="1"/>
    <col min="7422" max="7422" width="26.140625" style="7" customWidth="1"/>
    <col min="7423" max="7425" width="11.28515625" style="7" customWidth="1"/>
    <col min="7426" max="7426" width="10.28515625" style="7" customWidth="1"/>
    <col min="7427" max="7427" width="15.5703125" style="7" customWidth="1"/>
    <col min="7428" max="7428" width="16" style="7" customWidth="1"/>
    <col min="7429" max="7431" width="0" style="7" hidden="1" customWidth="1"/>
    <col min="7432" max="7432" width="17.140625" style="7" customWidth="1"/>
    <col min="7433" max="7433" width="16.85546875" style="7" customWidth="1"/>
    <col min="7434" max="7434" width="16.5703125" style="7" customWidth="1"/>
    <col min="7435" max="7435" width="16.28515625" style="7" customWidth="1"/>
    <col min="7436" max="7438" width="0" style="7" hidden="1" customWidth="1"/>
    <col min="7439" max="7439" width="16.42578125" style="7" customWidth="1"/>
    <col min="7440" max="7440" width="17" style="7" customWidth="1"/>
    <col min="7441" max="7443" width="0" style="7" hidden="1" customWidth="1"/>
    <col min="7444" max="7444" width="16.42578125" style="7" customWidth="1"/>
    <col min="7445" max="7445" width="16.140625" style="7" customWidth="1"/>
    <col min="7446" max="7446" width="16" style="7" customWidth="1"/>
    <col min="7447" max="7447" width="16.28515625" style="7" customWidth="1"/>
    <col min="7448" max="7448" width="14.5703125" style="7" customWidth="1"/>
    <col min="7449" max="7449" width="15.85546875" style="7" customWidth="1"/>
    <col min="7450" max="7450" width="15.140625" style="7" customWidth="1"/>
    <col min="7451" max="7451" width="16" style="7" customWidth="1"/>
    <col min="7452" max="7452" width="16.5703125" style="7" customWidth="1"/>
    <col min="7453" max="7676" width="9.140625" style="7"/>
    <col min="7677" max="7677" width="8.28515625" style="7" customWidth="1"/>
    <col min="7678" max="7678" width="26.140625" style="7" customWidth="1"/>
    <col min="7679" max="7681" width="11.28515625" style="7" customWidth="1"/>
    <col min="7682" max="7682" width="10.28515625" style="7" customWidth="1"/>
    <col min="7683" max="7683" width="15.5703125" style="7" customWidth="1"/>
    <col min="7684" max="7684" width="16" style="7" customWidth="1"/>
    <col min="7685" max="7687" width="0" style="7" hidden="1" customWidth="1"/>
    <col min="7688" max="7688" width="17.140625" style="7" customWidth="1"/>
    <col min="7689" max="7689" width="16.85546875" style="7" customWidth="1"/>
    <col min="7690" max="7690" width="16.5703125" style="7" customWidth="1"/>
    <col min="7691" max="7691" width="16.28515625" style="7" customWidth="1"/>
    <col min="7692" max="7694" width="0" style="7" hidden="1" customWidth="1"/>
    <col min="7695" max="7695" width="16.42578125" style="7" customWidth="1"/>
    <col min="7696" max="7696" width="17" style="7" customWidth="1"/>
    <col min="7697" max="7699" width="0" style="7" hidden="1" customWidth="1"/>
    <col min="7700" max="7700" width="16.42578125" style="7" customWidth="1"/>
    <col min="7701" max="7701" width="16.140625" style="7" customWidth="1"/>
    <col min="7702" max="7702" width="16" style="7" customWidth="1"/>
    <col min="7703" max="7703" width="16.28515625" style="7" customWidth="1"/>
    <col min="7704" max="7704" width="14.5703125" style="7" customWidth="1"/>
    <col min="7705" max="7705" width="15.85546875" style="7" customWidth="1"/>
    <col min="7706" max="7706" width="15.140625" style="7" customWidth="1"/>
    <col min="7707" max="7707" width="16" style="7" customWidth="1"/>
    <col min="7708" max="7708" width="16.5703125" style="7" customWidth="1"/>
    <col min="7709" max="7932" width="9.140625" style="7"/>
    <col min="7933" max="7933" width="8.28515625" style="7" customWidth="1"/>
    <col min="7934" max="7934" width="26.140625" style="7" customWidth="1"/>
    <col min="7935" max="7937" width="11.28515625" style="7" customWidth="1"/>
    <col min="7938" max="7938" width="10.28515625" style="7" customWidth="1"/>
    <col min="7939" max="7939" width="15.5703125" style="7" customWidth="1"/>
    <col min="7940" max="7940" width="16" style="7" customWidth="1"/>
    <col min="7941" max="7943" width="0" style="7" hidden="1" customWidth="1"/>
    <col min="7944" max="7944" width="17.140625" style="7" customWidth="1"/>
    <col min="7945" max="7945" width="16.85546875" style="7" customWidth="1"/>
    <col min="7946" max="7946" width="16.5703125" style="7" customWidth="1"/>
    <col min="7947" max="7947" width="16.28515625" style="7" customWidth="1"/>
    <col min="7948" max="7950" width="0" style="7" hidden="1" customWidth="1"/>
    <col min="7951" max="7951" width="16.42578125" style="7" customWidth="1"/>
    <col min="7952" max="7952" width="17" style="7" customWidth="1"/>
    <col min="7953" max="7955" width="0" style="7" hidden="1" customWidth="1"/>
    <col min="7956" max="7956" width="16.42578125" style="7" customWidth="1"/>
    <col min="7957" max="7957" width="16.140625" style="7" customWidth="1"/>
    <col min="7958" max="7958" width="16" style="7" customWidth="1"/>
    <col min="7959" max="7959" width="16.28515625" style="7" customWidth="1"/>
    <col min="7960" max="7960" width="14.5703125" style="7" customWidth="1"/>
    <col min="7961" max="7961" width="15.85546875" style="7" customWidth="1"/>
    <col min="7962" max="7962" width="15.140625" style="7" customWidth="1"/>
    <col min="7963" max="7963" width="16" style="7" customWidth="1"/>
    <col min="7964" max="7964" width="16.5703125" style="7" customWidth="1"/>
    <col min="7965" max="8188" width="9.140625" style="7"/>
    <col min="8189" max="8189" width="8.28515625" style="7" customWidth="1"/>
    <col min="8190" max="8190" width="26.140625" style="7" customWidth="1"/>
    <col min="8191" max="8193" width="11.28515625" style="7" customWidth="1"/>
    <col min="8194" max="8194" width="10.28515625" style="7" customWidth="1"/>
    <col min="8195" max="8195" width="15.5703125" style="7" customWidth="1"/>
    <col min="8196" max="8196" width="16" style="7" customWidth="1"/>
    <col min="8197" max="8199" width="0" style="7" hidden="1" customWidth="1"/>
    <col min="8200" max="8200" width="17.140625" style="7" customWidth="1"/>
    <col min="8201" max="8201" width="16.85546875" style="7" customWidth="1"/>
    <col min="8202" max="8202" width="16.5703125" style="7" customWidth="1"/>
    <col min="8203" max="8203" width="16.28515625" style="7" customWidth="1"/>
    <col min="8204" max="8206" width="0" style="7" hidden="1" customWidth="1"/>
    <col min="8207" max="8207" width="16.42578125" style="7" customWidth="1"/>
    <col min="8208" max="8208" width="17" style="7" customWidth="1"/>
    <col min="8209" max="8211" width="0" style="7" hidden="1" customWidth="1"/>
    <col min="8212" max="8212" width="16.42578125" style="7" customWidth="1"/>
    <col min="8213" max="8213" width="16.140625" style="7" customWidth="1"/>
    <col min="8214" max="8214" width="16" style="7" customWidth="1"/>
    <col min="8215" max="8215" width="16.28515625" style="7" customWidth="1"/>
    <col min="8216" max="8216" width="14.5703125" style="7" customWidth="1"/>
    <col min="8217" max="8217" width="15.85546875" style="7" customWidth="1"/>
    <col min="8218" max="8218" width="15.140625" style="7" customWidth="1"/>
    <col min="8219" max="8219" width="16" style="7" customWidth="1"/>
    <col min="8220" max="8220" width="16.5703125" style="7" customWidth="1"/>
    <col min="8221" max="8444" width="9.140625" style="7"/>
    <col min="8445" max="8445" width="8.28515625" style="7" customWidth="1"/>
    <col min="8446" max="8446" width="26.140625" style="7" customWidth="1"/>
    <col min="8447" max="8449" width="11.28515625" style="7" customWidth="1"/>
    <col min="8450" max="8450" width="10.28515625" style="7" customWidth="1"/>
    <col min="8451" max="8451" width="15.5703125" style="7" customWidth="1"/>
    <col min="8452" max="8452" width="16" style="7" customWidth="1"/>
    <col min="8453" max="8455" width="0" style="7" hidden="1" customWidth="1"/>
    <col min="8456" max="8456" width="17.140625" style="7" customWidth="1"/>
    <col min="8457" max="8457" width="16.85546875" style="7" customWidth="1"/>
    <col min="8458" max="8458" width="16.5703125" style="7" customWidth="1"/>
    <col min="8459" max="8459" width="16.28515625" style="7" customWidth="1"/>
    <col min="8460" max="8462" width="0" style="7" hidden="1" customWidth="1"/>
    <col min="8463" max="8463" width="16.42578125" style="7" customWidth="1"/>
    <col min="8464" max="8464" width="17" style="7" customWidth="1"/>
    <col min="8465" max="8467" width="0" style="7" hidden="1" customWidth="1"/>
    <col min="8468" max="8468" width="16.42578125" style="7" customWidth="1"/>
    <col min="8469" max="8469" width="16.140625" style="7" customWidth="1"/>
    <col min="8470" max="8470" width="16" style="7" customWidth="1"/>
    <col min="8471" max="8471" width="16.28515625" style="7" customWidth="1"/>
    <col min="8472" max="8472" width="14.5703125" style="7" customWidth="1"/>
    <col min="8473" max="8473" width="15.85546875" style="7" customWidth="1"/>
    <col min="8474" max="8474" width="15.140625" style="7" customWidth="1"/>
    <col min="8475" max="8475" width="16" style="7" customWidth="1"/>
    <col min="8476" max="8476" width="16.5703125" style="7" customWidth="1"/>
    <col min="8477" max="8700" width="9.140625" style="7"/>
    <col min="8701" max="8701" width="8.28515625" style="7" customWidth="1"/>
    <col min="8702" max="8702" width="26.140625" style="7" customWidth="1"/>
    <col min="8703" max="8705" width="11.28515625" style="7" customWidth="1"/>
    <col min="8706" max="8706" width="10.28515625" style="7" customWidth="1"/>
    <col min="8707" max="8707" width="15.5703125" style="7" customWidth="1"/>
    <col min="8708" max="8708" width="16" style="7" customWidth="1"/>
    <col min="8709" max="8711" width="0" style="7" hidden="1" customWidth="1"/>
    <col min="8712" max="8712" width="17.140625" style="7" customWidth="1"/>
    <col min="8713" max="8713" width="16.85546875" style="7" customWidth="1"/>
    <col min="8714" max="8714" width="16.5703125" style="7" customWidth="1"/>
    <col min="8715" max="8715" width="16.28515625" style="7" customWidth="1"/>
    <col min="8716" max="8718" width="0" style="7" hidden="1" customWidth="1"/>
    <col min="8719" max="8719" width="16.42578125" style="7" customWidth="1"/>
    <col min="8720" max="8720" width="17" style="7" customWidth="1"/>
    <col min="8721" max="8723" width="0" style="7" hidden="1" customWidth="1"/>
    <col min="8724" max="8724" width="16.42578125" style="7" customWidth="1"/>
    <col min="8725" max="8725" width="16.140625" style="7" customWidth="1"/>
    <col min="8726" max="8726" width="16" style="7" customWidth="1"/>
    <col min="8727" max="8727" width="16.28515625" style="7" customWidth="1"/>
    <col min="8728" max="8728" width="14.5703125" style="7" customWidth="1"/>
    <col min="8729" max="8729" width="15.85546875" style="7" customWidth="1"/>
    <col min="8730" max="8730" width="15.140625" style="7" customWidth="1"/>
    <col min="8731" max="8731" width="16" style="7" customWidth="1"/>
    <col min="8732" max="8732" width="16.5703125" style="7" customWidth="1"/>
    <col min="8733" max="8956" width="9.140625" style="7"/>
    <col min="8957" max="8957" width="8.28515625" style="7" customWidth="1"/>
    <col min="8958" max="8958" width="26.140625" style="7" customWidth="1"/>
    <col min="8959" max="8961" width="11.28515625" style="7" customWidth="1"/>
    <col min="8962" max="8962" width="10.28515625" style="7" customWidth="1"/>
    <col min="8963" max="8963" width="15.5703125" style="7" customWidth="1"/>
    <col min="8964" max="8964" width="16" style="7" customWidth="1"/>
    <col min="8965" max="8967" width="0" style="7" hidden="1" customWidth="1"/>
    <col min="8968" max="8968" width="17.140625" style="7" customWidth="1"/>
    <col min="8969" max="8969" width="16.85546875" style="7" customWidth="1"/>
    <col min="8970" max="8970" width="16.5703125" style="7" customWidth="1"/>
    <col min="8971" max="8971" width="16.28515625" style="7" customWidth="1"/>
    <col min="8972" max="8974" width="0" style="7" hidden="1" customWidth="1"/>
    <col min="8975" max="8975" width="16.42578125" style="7" customWidth="1"/>
    <col min="8976" max="8976" width="17" style="7" customWidth="1"/>
    <col min="8977" max="8979" width="0" style="7" hidden="1" customWidth="1"/>
    <col min="8980" max="8980" width="16.42578125" style="7" customWidth="1"/>
    <col min="8981" max="8981" width="16.140625" style="7" customWidth="1"/>
    <col min="8982" max="8982" width="16" style="7" customWidth="1"/>
    <col min="8983" max="8983" width="16.28515625" style="7" customWidth="1"/>
    <col min="8984" max="8984" width="14.5703125" style="7" customWidth="1"/>
    <col min="8985" max="8985" width="15.85546875" style="7" customWidth="1"/>
    <col min="8986" max="8986" width="15.140625" style="7" customWidth="1"/>
    <col min="8987" max="8987" width="16" style="7" customWidth="1"/>
    <col min="8988" max="8988" width="16.5703125" style="7" customWidth="1"/>
    <col min="8989" max="9212" width="9.140625" style="7"/>
    <col min="9213" max="9213" width="8.28515625" style="7" customWidth="1"/>
    <col min="9214" max="9214" width="26.140625" style="7" customWidth="1"/>
    <col min="9215" max="9217" width="11.28515625" style="7" customWidth="1"/>
    <col min="9218" max="9218" width="10.28515625" style="7" customWidth="1"/>
    <col min="9219" max="9219" width="15.5703125" style="7" customWidth="1"/>
    <col min="9220" max="9220" width="16" style="7" customWidth="1"/>
    <col min="9221" max="9223" width="0" style="7" hidden="1" customWidth="1"/>
    <col min="9224" max="9224" width="17.140625" style="7" customWidth="1"/>
    <col min="9225" max="9225" width="16.85546875" style="7" customWidth="1"/>
    <col min="9226" max="9226" width="16.5703125" style="7" customWidth="1"/>
    <col min="9227" max="9227" width="16.28515625" style="7" customWidth="1"/>
    <col min="9228" max="9230" width="0" style="7" hidden="1" customWidth="1"/>
    <col min="9231" max="9231" width="16.42578125" style="7" customWidth="1"/>
    <col min="9232" max="9232" width="17" style="7" customWidth="1"/>
    <col min="9233" max="9235" width="0" style="7" hidden="1" customWidth="1"/>
    <col min="9236" max="9236" width="16.42578125" style="7" customWidth="1"/>
    <col min="9237" max="9237" width="16.140625" style="7" customWidth="1"/>
    <col min="9238" max="9238" width="16" style="7" customWidth="1"/>
    <col min="9239" max="9239" width="16.28515625" style="7" customWidth="1"/>
    <col min="9240" max="9240" width="14.5703125" style="7" customWidth="1"/>
    <col min="9241" max="9241" width="15.85546875" style="7" customWidth="1"/>
    <col min="9242" max="9242" width="15.140625" style="7" customWidth="1"/>
    <col min="9243" max="9243" width="16" style="7" customWidth="1"/>
    <col min="9244" max="9244" width="16.5703125" style="7" customWidth="1"/>
    <col min="9245" max="9468" width="9.140625" style="7"/>
    <col min="9469" max="9469" width="8.28515625" style="7" customWidth="1"/>
    <col min="9470" max="9470" width="26.140625" style="7" customWidth="1"/>
    <col min="9471" max="9473" width="11.28515625" style="7" customWidth="1"/>
    <col min="9474" max="9474" width="10.28515625" style="7" customWidth="1"/>
    <col min="9475" max="9475" width="15.5703125" style="7" customWidth="1"/>
    <col min="9476" max="9476" width="16" style="7" customWidth="1"/>
    <col min="9477" max="9479" width="0" style="7" hidden="1" customWidth="1"/>
    <col min="9480" max="9480" width="17.140625" style="7" customWidth="1"/>
    <col min="9481" max="9481" width="16.85546875" style="7" customWidth="1"/>
    <col min="9482" max="9482" width="16.5703125" style="7" customWidth="1"/>
    <col min="9483" max="9483" width="16.28515625" style="7" customWidth="1"/>
    <col min="9484" max="9486" width="0" style="7" hidden="1" customWidth="1"/>
    <col min="9487" max="9487" width="16.42578125" style="7" customWidth="1"/>
    <col min="9488" max="9488" width="17" style="7" customWidth="1"/>
    <col min="9489" max="9491" width="0" style="7" hidden="1" customWidth="1"/>
    <col min="9492" max="9492" width="16.42578125" style="7" customWidth="1"/>
    <col min="9493" max="9493" width="16.140625" style="7" customWidth="1"/>
    <col min="9494" max="9494" width="16" style="7" customWidth="1"/>
    <col min="9495" max="9495" width="16.28515625" style="7" customWidth="1"/>
    <col min="9496" max="9496" width="14.5703125" style="7" customWidth="1"/>
    <col min="9497" max="9497" width="15.85546875" style="7" customWidth="1"/>
    <col min="9498" max="9498" width="15.140625" style="7" customWidth="1"/>
    <col min="9499" max="9499" width="16" style="7" customWidth="1"/>
    <col min="9500" max="9500" width="16.5703125" style="7" customWidth="1"/>
    <col min="9501" max="9724" width="9.140625" style="7"/>
    <col min="9725" max="9725" width="8.28515625" style="7" customWidth="1"/>
    <col min="9726" max="9726" width="26.140625" style="7" customWidth="1"/>
    <col min="9727" max="9729" width="11.28515625" style="7" customWidth="1"/>
    <col min="9730" max="9730" width="10.28515625" style="7" customWidth="1"/>
    <col min="9731" max="9731" width="15.5703125" style="7" customWidth="1"/>
    <col min="9732" max="9732" width="16" style="7" customWidth="1"/>
    <col min="9733" max="9735" width="0" style="7" hidden="1" customWidth="1"/>
    <col min="9736" max="9736" width="17.140625" style="7" customWidth="1"/>
    <col min="9737" max="9737" width="16.85546875" style="7" customWidth="1"/>
    <col min="9738" max="9738" width="16.5703125" style="7" customWidth="1"/>
    <col min="9739" max="9739" width="16.28515625" style="7" customWidth="1"/>
    <col min="9740" max="9742" width="0" style="7" hidden="1" customWidth="1"/>
    <col min="9743" max="9743" width="16.42578125" style="7" customWidth="1"/>
    <col min="9744" max="9744" width="17" style="7" customWidth="1"/>
    <col min="9745" max="9747" width="0" style="7" hidden="1" customWidth="1"/>
    <col min="9748" max="9748" width="16.42578125" style="7" customWidth="1"/>
    <col min="9749" max="9749" width="16.140625" style="7" customWidth="1"/>
    <col min="9750" max="9750" width="16" style="7" customWidth="1"/>
    <col min="9751" max="9751" width="16.28515625" style="7" customWidth="1"/>
    <col min="9752" max="9752" width="14.5703125" style="7" customWidth="1"/>
    <col min="9753" max="9753" width="15.85546875" style="7" customWidth="1"/>
    <col min="9754" max="9754" width="15.140625" style="7" customWidth="1"/>
    <col min="9755" max="9755" width="16" style="7" customWidth="1"/>
    <col min="9756" max="9756" width="16.5703125" style="7" customWidth="1"/>
    <col min="9757" max="9980" width="9.140625" style="7"/>
    <col min="9981" max="9981" width="8.28515625" style="7" customWidth="1"/>
    <col min="9982" max="9982" width="26.140625" style="7" customWidth="1"/>
    <col min="9983" max="9985" width="11.28515625" style="7" customWidth="1"/>
    <col min="9986" max="9986" width="10.28515625" style="7" customWidth="1"/>
    <col min="9987" max="9987" width="15.5703125" style="7" customWidth="1"/>
    <col min="9988" max="9988" width="16" style="7" customWidth="1"/>
    <col min="9989" max="9991" width="0" style="7" hidden="1" customWidth="1"/>
    <col min="9992" max="9992" width="17.140625" style="7" customWidth="1"/>
    <col min="9993" max="9993" width="16.85546875" style="7" customWidth="1"/>
    <col min="9994" max="9994" width="16.5703125" style="7" customWidth="1"/>
    <col min="9995" max="9995" width="16.28515625" style="7" customWidth="1"/>
    <col min="9996" max="9998" width="0" style="7" hidden="1" customWidth="1"/>
    <col min="9999" max="9999" width="16.42578125" style="7" customWidth="1"/>
    <col min="10000" max="10000" width="17" style="7" customWidth="1"/>
    <col min="10001" max="10003" width="0" style="7" hidden="1" customWidth="1"/>
    <col min="10004" max="10004" width="16.42578125" style="7" customWidth="1"/>
    <col min="10005" max="10005" width="16.140625" style="7" customWidth="1"/>
    <col min="10006" max="10006" width="16" style="7" customWidth="1"/>
    <col min="10007" max="10007" width="16.28515625" style="7" customWidth="1"/>
    <col min="10008" max="10008" width="14.5703125" style="7" customWidth="1"/>
    <col min="10009" max="10009" width="15.85546875" style="7" customWidth="1"/>
    <col min="10010" max="10010" width="15.140625" style="7" customWidth="1"/>
    <col min="10011" max="10011" width="16" style="7" customWidth="1"/>
    <col min="10012" max="10012" width="16.5703125" style="7" customWidth="1"/>
    <col min="10013" max="10236" width="9.140625" style="7"/>
    <col min="10237" max="10237" width="8.28515625" style="7" customWidth="1"/>
    <col min="10238" max="10238" width="26.140625" style="7" customWidth="1"/>
    <col min="10239" max="10241" width="11.28515625" style="7" customWidth="1"/>
    <col min="10242" max="10242" width="10.28515625" style="7" customWidth="1"/>
    <col min="10243" max="10243" width="15.5703125" style="7" customWidth="1"/>
    <col min="10244" max="10244" width="16" style="7" customWidth="1"/>
    <col min="10245" max="10247" width="0" style="7" hidden="1" customWidth="1"/>
    <col min="10248" max="10248" width="17.140625" style="7" customWidth="1"/>
    <col min="10249" max="10249" width="16.85546875" style="7" customWidth="1"/>
    <col min="10250" max="10250" width="16.5703125" style="7" customWidth="1"/>
    <col min="10251" max="10251" width="16.28515625" style="7" customWidth="1"/>
    <col min="10252" max="10254" width="0" style="7" hidden="1" customWidth="1"/>
    <col min="10255" max="10255" width="16.42578125" style="7" customWidth="1"/>
    <col min="10256" max="10256" width="17" style="7" customWidth="1"/>
    <col min="10257" max="10259" width="0" style="7" hidden="1" customWidth="1"/>
    <col min="10260" max="10260" width="16.42578125" style="7" customWidth="1"/>
    <col min="10261" max="10261" width="16.140625" style="7" customWidth="1"/>
    <col min="10262" max="10262" width="16" style="7" customWidth="1"/>
    <col min="10263" max="10263" width="16.28515625" style="7" customWidth="1"/>
    <col min="10264" max="10264" width="14.5703125" style="7" customWidth="1"/>
    <col min="10265" max="10265" width="15.85546875" style="7" customWidth="1"/>
    <col min="10266" max="10266" width="15.140625" style="7" customWidth="1"/>
    <col min="10267" max="10267" width="16" style="7" customWidth="1"/>
    <col min="10268" max="10268" width="16.5703125" style="7" customWidth="1"/>
    <col min="10269" max="10492" width="9.140625" style="7"/>
    <col min="10493" max="10493" width="8.28515625" style="7" customWidth="1"/>
    <col min="10494" max="10494" width="26.140625" style="7" customWidth="1"/>
    <col min="10495" max="10497" width="11.28515625" style="7" customWidth="1"/>
    <col min="10498" max="10498" width="10.28515625" style="7" customWidth="1"/>
    <col min="10499" max="10499" width="15.5703125" style="7" customWidth="1"/>
    <col min="10500" max="10500" width="16" style="7" customWidth="1"/>
    <col min="10501" max="10503" width="0" style="7" hidden="1" customWidth="1"/>
    <col min="10504" max="10504" width="17.140625" style="7" customWidth="1"/>
    <col min="10505" max="10505" width="16.85546875" style="7" customWidth="1"/>
    <col min="10506" max="10506" width="16.5703125" style="7" customWidth="1"/>
    <col min="10507" max="10507" width="16.28515625" style="7" customWidth="1"/>
    <col min="10508" max="10510" width="0" style="7" hidden="1" customWidth="1"/>
    <col min="10511" max="10511" width="16.42578125" style="7" customWidth="1"/>
    <col min="10512" max="10512" width="17" style="7" customWidth="1"/>
    <col min="10513" max="10515" width="0" style="7" hidden="1" customWidth="1"/>
    <col min="10516" max="10516" width="16.42578125" style="7" customWidth="1"/>
    <col min="10517" max="10517" width="16.140625" style="7" customWidth="1"/>
    <col min="10518" max="10518" width="16" style="7" customWidth="1"/>
    <col min="10519" max="10519" width="16.28515625" style="7" customWidth="1"/>
    <col min="10520" max="10520" width="14.5703125" style="7" customWidth="1"/>
    <col min="10521" max="10521" width="15.85546875" style="7" customWidth="1"/>
    <col min="10522" max="10522" width="15.140625" style="7" customWidth="1"/>
    <col min="10523" max="10523" width="16" style="7" customWidth="1"/>
    <col min="10524" max="10524" width="16.5703125" style="7" customWidth="1"/>
    <col min="10525" max="10748" width="9.140625" style="7"/>
    <col min="10749" max="10749" width="8.28515625" style="7" customWidth="1"/>
    <col min="10750" max="10750" width="26.140625" style="7" customWidth="1"/>
    <col min="10751" max="10753" width="11.28515625" style="7" customWidth="1"/>
    <col min="10754" max="10754" width="10.28515625" style="7" customWidth="1"/>
    <col min="10755" max="10755" width="15.5703125" style="7" customWidth="1"/>
    <col min="10756" max="10756" width="16" style="7" customWidth="1"/>
    <col min="10757" max="10759" width="0" style="7" hidden="1" customWidth="1"/>
    <col min="10760" max="10760" width="17.140625" style="7" customWidth="1"/>
    <col min="10761" max="10761" width="16.85546875" style="7" customWidth="1"/>
    <col min="10762" max="10762" width="16.5703125" style="7" customWidth="1"/>
    <col min="10763" max="10763" width="16.28515625" style="7" customWidth="1"/>
    <col min="10764" max="10766" width="0" style="7" hidden="1" customWidth="1"/>
    <col min="10767" max="10767" width="16.42578125" style="7" customWidth="1"/>
    <col min="10768" max="10768" width="17" style="7" customWidth="1"/>
    <col min="10769" max="10771" width="0" style="7" hidden="1" customWidth="1"/>
    <col min="10772" max="10772" width="16.42578125" style="7" customWidth="1"/>
    <col min="10773" max="10773" width="16.140625" style="7" customWidth="1"/>
    <col min="10774" max="10774" width="16" style="7" customWidth="1"/>
    <col min="10775" max="10775" width="16.28515625" style="7" customWidth="1"/>
    <col min="10776" max="10776" width="14.5703125" style="7" customWidth="1"/>
    <col min="10777" max="10777" width="15.85546875" style="7" customWidth="1"/>
    <col min="10778" max="10778" width="15.140625" style="7" customWidth="1"/>
    <col min="10779" max="10779" width="16" style="7" customWidth="1"/>
    <col min="10780" max="10780" width="16.5703125" style="7" customWidth="1"/>
    <col min="10781" max="11004" width="9.140625" style="7"/>
    <col min="11005" max="11005" width="8.28515625" style="7" customWidth="1"/>
    <col min="11006" max="11006" width="26.140625" style="7" customWidth="1"/>
    <col min="11007" max="11009" width="11.28515625" style="7" customWidth="1"/>
    <col min="11010" max="11010" width="10.28515625" style="7" customWidth="1"/>
    <col min="11011" max="11011" width="15.5703125" style="7" customWidth="1"/>
    <col min="11012" max="11012" width="16" style="7" customWidth="1"/>
    <col min="11013" max="11015" width="0" style="7" hidden="1" customWidth="1"/>
    <col min="11016" max="11016" width="17.140625" style="7" customWidth="1"/>
    <col min="11017" max="11017" width="16.85546875" style="7" customWidth="1"/>
    <col min="11018" max="11018" width="16.5703125" style="7" customWidth="1"/>
    <col min="11019" max="11019" width="16.28515625" style="7" customWidth="1"/>
    <col min="11020" max="11022" width="0" style="7" hidden="1" customWidth="1"/>
    <col min="11023" max="11023" width="16.42578125" style="7" customWidth="1"/>
    <col min="11024" max="11024" width="17" style="7" customWidth="1"/>
    <col min="11025" max="11027" width="0" style="7" hidden="1" customWidth="1"/>
    <col min="11028" max="11028" width="16.42578125" style="7" customWidth="1"/>
    <col min="11029" max="11029" width="16.140625" style="7" customWidth="1"/>
    <col min="11030" max="11030" width="16" style="7" customWidth="1"/>
    <col min="11031" max="11031" width="16.28515625" style="7" customWidth="1"/>
    <col min="11032" max="11032" width="14.5703125" style="7" customWidth="1"/>
    <col min="11033" max="11033" width="15.85546875" style="7" customWidth="1"/>
    <col min="11034" max="11034" width="15.140625" style="7" customWidth="1"/>
    <col min="11035" max="11035" width="16" style="7" customWidth="1"/>
    <col min="11036" max="11036" width="16.5703125" style="7" customWidth="1"/>
    <col min="11037" max="11260" width="9.140625" style="7"/>
    <col min="11261" max="11261" width="8.28515625" style="7" customWidth="1"/>
    <col min="11262" max="11262" width="26.140625" style="7" customWidth="1"/>
    <col min="11263" max="11265" width="11.28515625" style="7" customWidth="1"/>
    <col min="11266" max="11266" width="10.28515625" style="7" customWidth="1"/>
    <col min="11267" max="11267" width="15.5703125" style="7" customWidth="1"/>
    <col min="11268" max="11268" width="16" style="7" customWidth="1"/>
    <col min="11269" max="11271" width="0" style="7" hidden="1" customWidth="1"/>
    <col min="11272" max="11272" width="17.140625" style="7" customWidth="1"/>
    <col min="11273" max="11273" width="16.85546875" style="7" customWidth="1"/>
    <col min="11274" max="11274" width="16.5703125" style="7" customWidth="1"/>
    <col min="11275" max="11275" width="16.28515625" style="7" customWidth="1"/>
    <col min="11276" max="11278" width="0" style="7" hidden="1" customWidth="1"/>
    <col min="11279" max="11279" width="16.42578125" style="7" customWidth="1"/>
    <col min="11280" max="11280" width="17" style="7" customWidth="1"/>
    <col min="11281" max="11283" width="0" style="7" hidden="1" customWidth="1"/>
    <col min="11284" max="11284" width="16.42578125" style="7" customWidth="1"/>
    <col min="11285" max="11285" width="16.140625" style="7" customWidth="1"/>
    <col min="11286" max="11286" width="16" style="7" customWidth="1"/>
    <col min="11287" max="11287" width="16.28515625" style="7" customWidth="1"/>
    <col min="11288" max="11288" width="14.5703125" style="7" customWidth="1"/>
    <col min="11289" max="11289" width="15.85546875" style="7" customWidth="1"/>
    <col min="11290" max="11290" width="15.140625" style="7" customWidth="1"/>
    <col min="11291" max="11291" width="16" style="7" customWidth="1"/>
    <col min="11292" max="11292" width="16.5703125" style="7" customWidth="1"/>
    <col min="11293" max="11516" width="9.140625" style="7"/>
    <col min="11517" max="11517" width="8.28515625" style="7" customWidth="1"/>
    <col min="11518" max="11518" width="26.140625" style="7" customWidth="1"/>
    <col min="11519" max="11521" width="11.28515625" style="7" customWidth="1"/>
    <col min="11522" max="11522" width="10.28515625" style="7" customWidth="1"/>
    <col min="11523" max="11523" width="15.5703125" style="7" customWidth="1"/>
    <col min="11524" max="11524" width="16" style="7" customWidth="1"/>
    <col min="11525" max="11527" width="0" style="7" hidden="1" customWidth="1"/>
    <col min="11528" max="11528" width="17.140625" style="7" customWidth="1"/>
    <col min="11529" max="11529" width="16.85546875" style="7" customWidth="1"/>
    <col min="11530" max="11530" width="16.5703125" style="7" customWidth="1"/>
    <col min="11531" max="11531" width="16.28515625" style="7" customWidth="1"/>
    <col min="11532" max="11534" width="0" style="7" hidden="1" customWidth="1"/>
    <col min="11535" max="11535" width="16.42578125" style="7" customWidth="1"/>
    <col min="11536" max="11536" width="17" style="7" customWidth="1"/>
    <col min="11537" max="11539" width="0" style="7" hidden="1" customWidth="1"/>
    <col min="11540" max="11540" width="16.42578125" style="7" customWidth="1"/>
    <col min="11541" max="11541" width="16.140625" style="7" customWidth="1"/>
    <col min="11542" max="11542" width="16" style="7" customWidth="1"/>
    <col min="11543" max="11543" width="16.28515625" style="7" customWidth="1"/>
    <col min="11544" max="11544" width="14.5703125" style="7" customWidth="1"/>
    <col min="11545" max="11545" width="15.85546875" style="7" customWidth="1"/>
    <col min="11546" max="11546" width="15.140625" style="7" customWidth="1"/>
    <col min="11547" max="11547" width="16" style="7" customWidth="1"/>
    <col min="11548" max="11548" width="16.5703125" style="7" customWidth="1"/>
    <col min="11549" max="11772" width="9.140625" style="7"/>
    <col min="11773" max="11773" width="8.28515625" style="7" customWidth="1"/>
    <col min="11774" max="11774" width="26.140625" style="7" customWidth="1"/>
    <col min="11775" max="11777" width="11.28515625" style="7" customWidth="1"/>
    <col min="11778" max="11778" width="10.28515625" style="7" customWidth="1"/>
    <col min="11779" max="11779" width="15.5703125" style="7" customWidth="1"/>
    <col min="11780" max="11780" width="16" style="7" customWidth="1"/>
    <col min="11781" max="11783" width="0" style="7" hidden="1" customWidth="1"/>
    <col min="11784" max="11784" width="17.140625" style="7" customWidth="1"/>
    <col min="11785" max="11785" width="16.85546875" style="7" customWidth="1"/>
    <col min="11786" max="11786" width="16.5703125" style="7" customWidth="1"/>
    <col min="11787" max="11787" width="16.28515625" style="7" customWidth="1"/>
    <col min="11788" max="11790" width="0" style="7" hidden="1" customWidth="1"/>
    <col min="11791" max="11791" width="16.42578125" style="7" customWidth="1"/>
    <col min="11792" max="11792" width="17" style="7" customWidth="1"/>
    <col min="11793" max="11795" width="0" style="7" hidden="1" customWidth="1"/>
    <col min="11796" max="11796" width="16.42578125" style="7" customWidth="1"/>
    <col min="11797" max="11797" width="16.140625" style="7" customWidth="1"/>
    <col min="11798" max="11798" width="16" style="7" customWidth="1"/>
    <col min="11799" max="11799" width="16.28515625" style="7" customWidth="1"/>
    <col min="11800" max="11800" width="14.5703125" style="7" customWidth="1"/>
    <col min="11801" max="11801" width="15.85546875" style="7" customWidth="1"/>
    <col min="11802" max="11802" width="15.140625" style="7" customWidth="1"/>
    <col min="11803" max="11803" width="16" style="7" customWidth="1"/>
    <col min="11804" max="11804" width="16.5703125" style="7" customWidth="1"/>
    <col min="11805" max="12028" width="9.140625" style="7"/>
    <col min="12029" max="12029" width="8.28515625" style="7" customWidth="1"/>
    <col min="12030" max="12030" width="26.140625" style="7" customWidth="1"/>
    <col min="12031" max="12033" width="11.28515625" style="7" customWidth="1"/>
    <col min="12034" max="12034" width="10.28515625" style="7" customWidth="1"/>
    <col min="12035" max="12035" width="15.5703125" style="7" customWidth="1"/>
    <col min="12036" max="12036" width="16" style="7" customWidth="1"/>
    <col min="12037" max="12039" width="0" style="7" hidden="1" customWidth="1"/>
    <col min="12040" max="12040" width="17.140625" style="7" customWidth="1"/>
    <col min="12041" max="12041" width="16.85546875" style="7" customWidth="1"/>
    <col min="12042" max="12042" width="16.5703125" style="7" customWidth="1"/>
    <col min="12043" max="12043" width="16.28515625" style="7" customWidth="1"/>
    <col min="12044" max="12046" width="0" style="7" hidden="1" customWidth="1"/>
    <col min="12047" max="12047" width="16.42578125" style="7" customWidth="1"/>
    <col min="12048" max="12048" width="17" style="7" customWidth="1"/>
    <col min="12049" max="12051" width="0" style="7" hidden="1" customWidth="1"/>
    <col min="12052" max="12052" width="16.42578125" style="7" customWidth="1"/>
    <col min="12053" max="12053" width="16.140625" style="7" customWidth="1"/>
    <col min="12054" max="12054" width="16" style="7" customWidth="1"/>
    <col min="12055" max="12055" width="16.28515625" style="7" customWidth="1"/>
    <col min="12056" max="12056" width="14.5703125" style="7" customWidth="1"/>
    <col min="12057" max="12057" width="15.85546875" style="7" customWidth="1"/>
    <col min="12058" max="12058" width="15.140625" style="7" customWidth="1"/>
    <col min="12059" max="12059" width="16" style="7" customWidth="1"/>
    <col min="12060" max="12060" width="16.5703125" style="7" customWidth="1"/>
    <col min="12061" max="12284" width="9.140625" style="7"/>
    <col min="12285" max="12285" width="8.28515625" style="7" customWidth="1"/>
    <col min="12286" max="12286" width="26.140625" style="7" customWidth="1"/>
    <col min="12287" max="12289" width="11.28515625" style="7" customWidth="1"/>
    <col min="12290" max="12290" width="10.28515625" style="7" customWidth="1"/>
    <col min="12291" max="12291" width="15.5703125" style="7" customWidth="1"/>
    <col min="12292" max="12292" width="16" style="7" customWidth="1"/>
    <col min="12293" max="12295" width="0" style="7" hidden="1" customWidth="1"/>
    <col min="12296" max="12296" width="17.140625" style="7" customWidth="1"/>
    <col min="12297" max="12297" width="16.85546875" style="7" customWidth="1"/>
    <col min="12298" max="12298" width="16.5703125" style="7" customWidth="1"/>
    <col min="12299" max="12299" width="16.28515625" style="7" customWidth="1"/>
    <col min="12300" max="12302" width="0" style="7" hidden="1" customWidth="1"/>
    <col min="12303" max="12303" width="16.42578125" style="7" customWidth="1"/>
    <col min="12304" max="12304" width="17" style="7" customWidth="1"/>
    <col min="12305" max="12307" width="0" style="7" hidden="1" customWidth="1"/>
    <col min="12308" max="12308" width="16.42578125" style="7" customWidth="1"/>
    <col min="12309" max="12309" width="16.140625" style="7" customWidth="1"/>
    <col min="12310" max="12310" width="16" style="7" customWidth="1"/>
    <col min="12311" max="12311" width="16.28515625" style="7" customWidth="1"/>
    <col min="12312" max="12312" width="14.5703125" style="7" customWidth="1"/>
    <col min="12313" max="12313" width="15.85546875" style="7" customWidth="1"/>
    <col min="12314" max="12314" width="15.140625" style="7" customWidth="1"/>
    <col min="12315" max="12315" width="16" style="7" customWidth="1"/>
    <col min="12316" max="12316" width="16.5703125" style="7" customWidth="1"/>
    <col min="12317" max="12540" width="9.140625" style="7"/>
    <col min="12541" max="12541" width="8.28515625" style="7" customWidth="1"/>
    <col min="12542" max="12542" width="26.140625" style="7" customWidth="1"/>
    <col min="12543" max="12545" width="11.28515625" style="7" customWidth="1"/>
    <col min="12546" max="12546" width="10.28515625" style="7" customWidth="1"/>
    <col min="12547" max="12547" width="15.5703125" style="7" customWidth="1"/>
    <col min="12548" max="12548" width="16" style="7" customWidth="1"/>
    <col min="12549" max="12551" width="0" style="7" hidden="1" customWidth="1"/>
    <col min="12552" max="12552" width="17.140625" style="7" customWidth="1"/>
    <col min="12553" max="12553" width="16.85546875" style="7" customWidth="1"/>
    <col min="12554" max="12554" width="16.5703125" style="7" customWidth="1"/>
    <col min="12555" max="12555" width="16.28515625" style="7" customWidth="1"/>
    <col min="12556" max="12558" width="0" style="7" hidden="1" customWidth="1"/>
    <col min="12559" max="12559" width="16.42578125" style="7" customWidth="1"/>
    <col min="12560" max="12560" width="17" style="7" customWidth="1"/>
    <col min="12561" max="12563" width="0" style="7" hidden="1" customWidth="1"/>
    <col min="12564" max="12564" width="16.42578125" style="7" customWidth="1"/>
    <col min="12565" max="12565" width="16.140625" style="7" customWidth="1"/>
    <col min="12566" max="12566" width="16" style="7" customWidth="1"/>
    <col min="12567" max="12567" width="16.28515625" style="7" customWidth="1"/>
    <col min="12568" max="12568" width="14.5703125" style="7" customWidth="1"/>
    <col min="12569" max="12569" width="15.85546875" style="7" customWidth="1"/>
    <col min="12570" max="12570" width="15.140625" style="7" customWidth="1"/>
    <col min="12571" max="12571" width="16" style="7" customWidth="1"/>
    <col min="12572" max="12572" width="16.5703125" style="7" customWidth="1"/>
    <col min="12573" max="12796" width="9.140625" style="7"/>
    <col min="12797" max="12797" width="8.28515625" style="7" customWidth="1"/>
    <col min="12798" max="12798" width="26.140625" style="7" customWidth="1"/>
    <col min="12799" max="12801" width="11.28515625" style="7" customWidth="1"/>
    <col min="12802" max="12802" width="10.28515625" style="7" customWidth="1"/>
    <col min="12803" max="12803" width="15.5703125" style="7" customWidth="1"/>
    <col min="12804" max="12804" width="16" style="7" customWidth="1"/>
    <col min="12805" max="12807" width="0" style="7" hidden="1" customWidth="1"/>
    <col min="12808" max="12808" width="17.140625" style="7" customWidth="1"/>
    <col min="12809" max="12809" width="16.85546875" style="7" customWidth="1"/>
    <col min="12810" max="12810" width="16.5703125" style="7" customWidth="1"/>
    <col min="12811" max="12811" width="16.28515625" style="7" customWidth="1"/>
    <col min="12812" max="12814" width="0" style="7" hidden="1" customWidth="1"/>
    <col min="12815" max="12815" width="16.42578125" style="7" customWidth="1"/>
    <col min="12816" max="12816" width="17" style="7" customWidth="1"/>
    <col min="12817" max="12819" width="0" style="7" hidden="1" customWidth="1"/>
    <col min="12820" max="12820" width="16.42578125" style="7" customWidth="1"/>
    <col min="12821" max="12821" width="16.140625" style="7" customWidth="1"/>
    <col min="12822" max="12822" width="16" style="7" customWidth="1"/>
    <col min="12823" max="12823" width="16.28515625" style="7" customWidth="1"/>
    <col min="12824" max="12824" width="14.5703125" style="7" customWidth="1"/>
    <col min="12825" max="12825" width="15.85546875" style="7" customWidth="1"/>
    <col min="12826" max="12826" width="15.140625" style="7" customWidth="1"/>
    <col min="12827" max="12827" width="16" style="7" customWidth="1"/>
    <col min="12828" max="12828" width="16.5703125" style="7" customWidth="1"/>
    <col min="12829" max="13052" width="9.140625" style="7"/>
    <col min="13053" max="13053" width="8.28515625" style="7" customWidth="1"/>
    <col min="13054" max="13054" width="26.140625" style="7" customWidth="1"/>
    <col min="13055" max="13057" width="11.28515625" style="7" customWidth="1"/>
    <col min="13058" max="13058" width="10.28515625" style="7" customWidth="1"/>
    <col min="13059" max="13059" width="15.5703125" style="7" customWidth="1"/>
    <col min="13060" max="13060" width="16" style="7" customWidth="1"/>
    <col min="13061" max="13063" width="0" style="7" hidden="1" customWidth="1"/>
    <col min="13064" max="13064" width="17.140625" style="7" customWidth="1"/>
    <col min="13065" max="13065" width="16.85546875" style="7" customWidth="1"/>
    <col min="13066" max="13066" width="16.5703125" style="7" customWidth="1"/>
    <col min="13067" max="13067" width="16.28515625" style="7" customWidth="1"/>
    <col min="13068" max="13070" width="0" style="7" hidden="1" customWidth="1"/>
    <col min="13071" max="13071" width="16.42578125" style="7" customWidth="1"/>
    <col min="13072" max="13072" width="17" style="7" customWidth="1"/>
    <col min="13073" max="13075" width="0" style="7" hidden="1" customWidth="1"/>
    <col min="13076" max="13076" width="16.42578125" style="7" customWidth="1"/>
    <col min="13077" max="13077" width="16.140625" style="7" customWidth="1"/>
    <col min="13078" max="13078" width="16" style="7" customWidth="1"/>
    <col min="13079" max="13079" width="16.28515625" style="7" customWidth="1"/>
    <col min="13080" max="13080" width="14.5703125" style="7" customWidth="1"/>
    <col min="13081" max="13081" width="15.85546875" style="7" customWidth="1"/>
    <col min="13082" max="13082" width="15.140625" style="7" customWidth="1"/>
    <col min="13083" max="13083" width="16" style="7" customWidth="1"/>
    <col min="13084" max="13084" width="16.5703125" style="7" customWidth="1"/>
    <col min="13085" max="13308" width="9.140625" style="7"/>
    <col min="13309" max="13309" width="8.28515625" style="7" customWidth="1"/>
    <col min="13310" max="13310" width="26.140625" style="7" customWidth="1"/>
    <col min="13311" max="13313" width="11.28515625" style="7" customWidth="1"/>
    <col min="13314" max="13314" width="10.28515625" style="7" customWidth="1"/>
    <col min="13315" max="13315" width="15.5703125" style="7" customWidth="1"/>
    <col min="13316" max="13316" width="16" style="7" customWidth="1"/>
    <col min="13317" max="13319" width="0" style="7" hidden="1" customWidth="1"/>
    <col min="13320" max="13320" width="17.140625" style="7" customWidth="1"/>
    <col min="13321" max="13321" width="16.85546875" style="7" customWidth="1"/>
    <col min="13322" max="13322" width="16.5703125" style="7" customWidth="1"/>
    <col min="13323" max="13323" width="16.28515625" style="7" customWidth="1"/>
    <col min="13324" max="13326" width="0" style="7" hidden="1" customWidth="1"/>
    <col min="13327" max="13327" width="16.42578125" style="7" customWidth="1"/>
    <col min="13328" max="13328" width="17" style="7" customWidth="1"/>
    <col min="13329" max="13331" width="0" style="7" hidden="1" customWidth="1"/>
    <col min="13332" max="13332" width="16.42578125" style="7" customWidth="1"/>
    <col min="13333" max="13333" width="16.140625" style="7" customWidth="1"/>
    <col min="13334" max="13334" width="16" style="7" customWidth="1"/>
    <col min="13335" max="13335" width="16.28515625" style="7" customWidth="1"/>
    <col min="13336" max="13336" width="14.5703125" style="7" customWidth="1"/>
    <col min="13337" max="13337" width="15.85546875" style="7" customWidth="1"/>
    <col min="13338" max="13338" width="15.140625" style="7" customWidth="1"/>
    <col min="13339" max="13339" width="16" style="7" customWidth="1"/>
    <col min="13340" max="13340" width="16.5703125" style="7" customWidth="1"/>
    <col min="13341" max="13564" width="9.140625" style="7"/>
    <col min="13565" max="13565" width="8.28515625" style="7" customWidth="1"/>
    <col min="13566" max="13566" width="26.140625" style="7" customWidth="1"/>
    <col min="13567" max="13569" width="11.28515625" style="7" customWidth="1"/>
    <col min="13570" max="13570" width="10.28515625" style="7" customWidth="1"/>
    <col min="13571" max="13571" width="15.5703125" style="7" customWidth="1"/>
    <col min="13572" max="13572" width="16" style="7" customWidth="1"/>
    <col min="13573" max="13575" width="0" style="7" hidden="1" customWidth="1"/>
    <col min="13576" max="13576" width="17.140625" style="7" customWidth="1"/>
    <col min="13577" max="13577" width="16.85546875" style="7" customWidth="1"/>
    <col min="13578" max="13578" width="16.5703125" style="7" customWidth="1"/>
    <col min="13579" max="13579" width="16.28515625" style="7" customWidth="1"/>
    <col min="13580" max="13582" width="0" style="7" hidden="1" customWidth="1"/>
    <col min="13583" max="13583" width="16.42578125" style="7" customWidth="1"/>
    <col min="13584" max="13584" width="17" style="7" customWidth="1"/>
    <col min="13585" max="13587" width="0" style="7" hidden="1" customWidth="1"/>
    <col min="13588" max="13588" width="16.42578125" style="7" customWidth="1"/>
    <col min="13589" max="13589" width="16.140625" style="7" customWidth="1"/>
    <col min="13590" max="13590" width="16" style="7" customWidth="1"/>
    <col min="13591" max="13591" width="16.28515625" style="7" customWidth="1"/>
    <col min="13592" max="13592" width="14.5703125" style="7" customWidth="1"/>
    <col min="13593" max="13593" width="15.85546875" style="7" customWidth="1"/>
    <col min="13594" max="13594" width="15.140625" style="7" customWidth="1"/>
    <col min="13595" max="13595" width="16" style="7" customWidth="1"/>
    <col min="13596" max="13596" width="16.5703125" style="7" customWidth="1"/>
    <col min="13597" max="13820" width="9.140625" style="7"/>
    <col min="13821" max="13821" width="8.28515625" style="7" customWidth="1"/>
    <col min="13822" max="13822" width="26.140625" style="7" customWidth="1"/>
    <col min="13823" max="13825" width="11.28515625" style="7" customWidth="1"/>
    <col min="13826" max="13826" width="10.28515625" style="7" customWidth="1"/>
    <col min="13827" max="13827" width="15.5703125" style="7" customWidth="1"/>
    <col min="13828" max="13828" width="16" style="7" customWidth="1"/>
    <col min="13829" max="13831" width="0" style="7" hidden="1" customWidth="1"/>
    <col min="13832" max="13832" width="17.140625" style="7" customWidth="1"/>
    <col min="13833" max="13833" width="16.85546875" style="7" customWidth="1"/>
    <col min="13834" max="13834" width="16.5703125" style="7" customWidth="1"/>
    <col min="13835" max="13835" width="16.28515625" style="7" customWidth="1"/>
    <col min="13836" max="13838" width="0" style="7" hidden="1" customWidth="1"/>
    <col min="13839" max="13839" width="16.42578125" style="7" customWidth="1"/>
    <col min="13840" max="13840" width="17" style="7" customWidth="1"/>
    <col min="13841" max="13843" width="0" style="7" hidden="1" customWidth="1"/>
    <col min="13844" max="13844" width="16.42578125" style="7" customWidth="1"/>
    <col min="13845" max="13845" width="16.140625" style="7" customWidth="1"/>
    <col min="13846" max="13846" width="16" style="7" customWidth="1"/>
    <col min="13847" max="13847" width="16.28515625" style="7" customWidth="1"/>
    <col min="13848" max="13848" width="14.5703125" style="7" customWidth="1"/>
    <col min="13849" max="13849" width="15.85546875" style="7" customWidth="1"/>
    <col min="13850" max="13850" width="15.140625" style="7" customWidth="1"/>
    <col min="13851" max="13851" width="16" style="7" customWidth="1"/>
    <col min="13852" max="13852" width="16.5703125" style="7" customWidth="1"/>
    <col min="13853" max="14076" width="9.140625" style="7"/>
    <col min="14077" max="14077" width="8.28515625" style="7" customWidth="1"/>
    <col min="14078" max="14078" width="26.140625" style="7" customWidth="1"/>
    <col min="14079" max="14081" width="11.28515625" style="7" customWidth="1"/>
    <col min="14082" max="14082" width="10.28515625" style="7" customWidth="1"/>
    <col min="14083" max="14083" width="15.5703125" style="7" customWidth="1"/>
    <col min="14084" max="14084" width="16" style="7" customWidth="1"/>
    <col min="14085" max="14087" width="0" style="7" hidden="1" customWidth="1"/>
    <col min="14088" max="14088" width="17.140625" style="7" customWidth="1"/>
    <col min="14089" max="14089" width="16.85546875" style="7" customWidth="1"/>
    <col min="14090" max="14090" width="16.5703125" style="7" customWidth="1"/>
    <col min="14091" max="14091" width="16.28515625" style="7" customWidth="1"/>
    <col min="14092" max="14094" width="0" style="7" hidden="1" customWidth="1"/>
    <col min="14095" max="14095" width="16.42578125" style="7" customWidth="1"/>
    <col min="14096" max="14096" width="17" style="7" customWidth="1"/>
    <col min="14097" max="14099" width="0" style="7" hidden="1" customWidth="1"/>
    <col min="14100" max="14100" width="16.42578125" style="7" customWidth="1"/>
    <col min="14101" max="14101" width="16.140625" style="7" customWidth="1"/>
    <col min="14102" max="14102" width="16" style="7" customWidth="1"/>
    <col min="14103" max="14103" width="16.28515625" style="7" customWidth="1"/>
    <col min="14104" max="14104" width="14.5703125" style="7" customWidth="1"/>
    <col min="14105" max="14105" width="15.85546875" style="7" customWidth="1"/>
    <col min="14106" max="14106" width="15.140625" style="7" customWidth="1"/>
    <col min="14107" max="14107" width="16" style="7" customWidth="1"/>
    <col min="14108" max="14108" width="16.5703125" style="7" customWidth="1"/>
    <col min="14109" max="14332" width="9.140625" style="7"/>
    <col min="14333" max="14333" width="8.28515625" style="7" customWidth="1"/>
    <col min="14334" max="14334" width="26.140625" style="7" customWidth="1"/>
    <col min="14335" max="14337" width="11.28515625" style="7" customWidth="1"/>
    <col min="14338" max="14338" width="10.28515625" style="7" customWidth="1"/>
    <col min="14339" max="14339" width="15.5703125" style="7" customWidth="1"/>
    <col min="14340" max="14340" width="16" style="7" customWidth="1"/>
    <col min="14341" max="14343" width="0" style="7" hidden="1" customWidth="1"/>
    <col min="14344" max="14344" width="17.140625" style="7" customWidth="1"/>
    <col min="14345" max="14345" width="16.85546875" style="7" customWidth="1"/>
    <col min="14346" max="14346" width="16.5703125" style="7" customWidth="1"/>
    <col min="14347" max="14347" width="16.28515625" style="7" customWidth="1"/>
    <col min="14348" max="14350" width="0" style="7" hidden="1" customWidth="1"/>
    <col min="14351" max="14351" width="16.42578125" style="7" customWidth="1"/>
    <col min="14352" max="14352" width="17" style="7" customWidth="1"/>
    <col min="14353" max="14355" width="0" style="7" hidden="1" customWidth="1"/>
    <col min="14356" max="14356" width="16.42578125" style="7" customWidth="1"/>
    <col min="14357" max="14357" width="16.140625" style="7" customWidth="1"/>
    <col min="14358" max="14358" width="16" style="7" customWidth="1"/>
    <col min="14359" max="14359" width="16.28515625" style="7" customWidth="1"/>
    <col min="14360" max="14360" width="14.5703125" style="7" customWidth="1"/>
    <col min="14361" max="14361" width="15.85546875" style="7" customWidth="1"/>
    <col min="14362" max="14362" width="15.140625" style="7" customWidth="1"/>
    <col min="14363" max="14363" width="16" style="7" customWidth="1"/>
    <col min="14364" max="14364" width="16.5703125" style="7" customWidth="1"/>
    <col min="14365" max="14588" width="9.140625" style="7"/>
    <col min="14589" max="14589" width="8.28515625" style="7" customWidth="1"/>
    <col min="14590" max="14590" width="26.140625" style="7" customWidth="1"/>
    <col min="14591" max="14593" width="11.28515625" style="7" customWidth="1"/>
    <col min="14594" max="14594" width="10.28515625" style="7" customWidth="1"/>
    <col min="14595" max="14595" width="15.5703125" style="7" customWidth="1"/>
    <col min="14596" max="14596" width="16" style="7" customWidth="1"/>
    <col min="14597" max="14599" width="0" style="7" hidden="1" customWidth="1"/>
    <col min="14600" max="14600" width="17.140625" style="7" customWidth="1"/>
    <col min="14601" max="14601" width="16.85546875" style="7" customWidth="1"/>
    <col min="14602" max="14602" width="16.5703125" style="7" customWidth="1"/>
    <col min="14603" max="14603" width="16.28515625" style="7" customWidth="1"/>
    <col min="14604" max="14606" width="0" style="7" hidden="1" customWidth="1"/>
    <col min="14607" max="14607" width="16.42578125" style="7" customWidth="1"/>
    <col min="14608" max="14608" width="17" style="7" customWidth="1"/>
    <col min="14609" max="14611" width="0" style="7" hidden="1" customWidth="1"/>
    <col min="14612" max="14612" width="16.42578125" style="7" customWidth="1"/>
    <col min="14613" max="14613" width="16.140625" style="7" customWidth="1"/>
    <col min="14614" max="14614" width="16" style="7" customWidth="1"/>
    <col min="14615" max="14615" width="16.28515625" style="7" customWidth="1"/>
    <col min="14616" max="14616" width="14.5703125" style="7" customWidth="1"/>
    <col min="14617" max="14617" width="15.85546875" style="7" customWidth="1"/>
    <col min="14618" max="14618" width="15.140625" style="7" customWidth="1"/>
    <col min="14619" max="14619" width="16" style="7" customWidth="1"/>
    <col min="14620" max="14620" width="16.5703125" style="7" customWidth="1"/>
    <col min="14621" max="14844" width="9.140625" style="7"/>
    <col min="14845" max="14845" width="8.28515625" style="7" customWidth="1"/>
    <col min="14846" max="14846" width="26.140625" style="7" customWidth="1"/>
    <col min="14847" max="14849" width="11.28515625" style="7" customWidth="1"/>
    <col min="14850" max="14850" width="10.28515625" style="7" customWidth="1"/>
    <col min="14851" max="14851" width="15.5703125" style="7" customWidth="1"/>
    <col min="14852" max="14852" width="16" style="7" customWidth="1"/>
    <col min="14853" max="14855" width="0" style="7" hidden="1" customWidth="1"/>
    <col min="14856" max="14856" width="17.140625" style="7" customWidth="1"/>
    <col min="14857" max="14857" width="16.85546875" style="7" customWidth="1"/>
    <col min="14858" max="14858" width="16.5703125" style="7" customWidth="1"/>
    <col min="14859" max="14859" width="16.28515625" style="7" customWidth="1"/>
    <col min="14860" max="14862" width="0" style="7" hidden="1" customWidth="1"/>
    <col min="14863" max="14863" width="16.42578125" style="7" customWidth="1"/>
    <col min="14864" max="14864" width="17" style="7" customWidth="1"/>
    <col min="14865" max="14867" width="0" style="7" hidden="1" customWidth="1"/>
    <col min="14868" max="14868" width="16.42578125" style="7" customWidth="1"/>
    <col min="14869" max="14869" width="16.140625" style="7" customWidth="1"/>
    <col min="14870" max="14870" width="16" style="7" customWidth="1"/>
    <col min="14871" max="14871" width="16.28515625" style="7" customWidth="1"/>
    <col min="14872" max="14872" width="14.5703125" style="7" customWidth="1"/>
    <col min="14873" max="14873" width="15.85546875" style="7" customWidth="1"/>
    <col min="14874" max="14874" width="15.140625" style="7" customWidth="1"/>
    <col min="14875" max="14875" width="16" style="7" customWidth="1"/>
    <col min="14876" max="14876" width="16.5703125" style="7" customWidth="1"/>
    <col min="14877" max="15100" width="9.140625" style="7"/>
    <col min="15101" max="15101" width="8.28515625" style="7" customWidth="1"/>
    <col min="15102" max="15102" width="26.140625" style="7" customWidth="1"/>
    <col min="15103" max="15105" width="11.28515625" style="7" customWidth="1"/>
    <col min="15106" max="15106" width="10.28515625" style="7" customWidth="1"/>
    <col min="15107" max="15107" width="15.5703125" style="7" customWidth="1"/>
    <col min="15108" max="15108" width="16" style="7" customWidth="1"/>
    <col min="15109" max="15111" width="0" style="7" hidden="1" customWidth="1"/>
    <col min="15112" max="15112" width="17.140625" style="7" customWidth="1"/>
    <col min="15113" max="15113" width="16.85546875" style="7" customWidth="1"/>
    <col min="15114" max="15114" width="16.5703125" style="7" customWidth="1"/>
    <col min="15115" max="15115" width="16.28515625" style="7" customWidth="1"/>
    <col min="15116" max="15118" width="0" style="7" hidden="1" customWidth="1"/>
    <col min="15119" max="15119" width="16.42578125" style="7" customWidth="1"/>
    <col min="15120" max="15120" width="17" style="7" customWidth="1"/>
    <col min="15121" max="15123" width="0" style="7" hidden="1" customWidth="1"/>
    <col min="15124" max="15124" width="16.42578125" style="7" customWidth="1"/>
    <col min="15125" max="15125" width="16.140625" style="7" customWidth="1"/>
    <col min="15126" max="15126" width="16" style="7" customWidth="1"/>
    <col min="15127" max="15127" width="16.28515625" style="7" customWidth="1"/>
    <col min="15128" max="15128" width="14.5703125" style="7" customWidth="1"/>
    <col min="15129" max="15129" width="15.85546875" style="7" customWidth="1"/>
    <col min="15130" max="15130" width="15.140625" style="7" customWidth="1"/>
    <col min="15131" max="15131" width="16" style="7" customWidth="1"/>
    <col min="15132" max="15132" width="16.5703125" style="7" customWidth="1"/>
    <col min="15133" max="15356" width="9.140625" style="7"/>
    <col min="15357" max="15357" width="8.28515625" style="7" customWidth="1"/>
    <col min="15358" max="15358" width="26.140625" style="7" customWidth="1"/>
    <col min="15359" max="15361" width="11.28515625" style="7" customWidth="1"/>
    <col min="15362" max="15362" width="10.28515625" style="7" customWidth="1"/>
    <col min="15363" max="15363" width="15.5703125" style="7" customWidth="1"/>
    <col min="15364" max="15364" width="16" style="7" customWidth="1"/>
    <col min="15365" max="15367" width="0" style="7" hidden="1" customWidth="1"/>
    <col min="15368" max="15368" width="17.140625" style="7" customWidth="1"/>
    <col min="15369" max="15369" width="16.85546875" style="7" customWidth="1"/>
    <col min="15370" max="15370" width="16.5703125" style="7" customWidth="1"/>
    <col min="15371" max="15371" width="16.28515625" style="7" customWidth="1"/>
    <col min="15372" max="15374" width="0" style="7" hidden="1" customWidth="1"/>
    <col min="15375" max="15375" width="16.42578125" style="7" customWidth="1"/>
    <col min="15376" max="15376" width="17" style="7" customWidth="1"/>
    <col min="15377" max="15379" width="0" style="7" hidden="1" customWidth="1"/>
    <col min="15380" max="15380" width="16.42578125" style="7" customWidth="1"/>
    <col min="15381" max="15381" width="16.140625" style="7" customWidth="1"/>
    <col min="15382" max="15382" width="16" style="7" customWidth="1"/>
    <col min="15383" max="15383" width="16.28515625" style="7" customWidth="1"/>
    <col min="15384" max="15384" width="14.5703125" style="7" customWidth="1"/>
    <col min="15385" max="15385" width="15.85546875" style="7" customWidth="1"/>
    <col min="15386" max="15386" width="15.140625" style="7" customWidth="1"/>
    <col min="15387" max="15387" width="16" style="7" customWidth="1"/>
    <col min="15388" max="15388" width="16.5703125" style="7" customWidth="1"/>
    <col min="15389" max="15612" width="9.140625" style="7"/>
    <col min="15613" max="15613" width="8.28515625" style="7" customWidth="1"/>
    <col min="15614" max="15614" width="26.140625" style="7" customWidth="1"/>
    <col min="15615" max="15617" width="11.28515625" style="7" customWidth="1"/>
    <col min="15618" max="15618" width="10.28515625" style="7" customWidth="1"/>
    <col min="15619" max="15619" width="15.5703125" style="7" customWidth="1"/>
    <col min="15620" max="15620" width="16" style="7" customWidth="1"/>
    <col min="15621" max="15623" width="0" style="7" hidden="1" customWidth="1"/>
    <col min="15624" max="15624" width="17.140625" style="7" customWidth="1"/>
    <col min="15625" max="15625" width="16.85546875" style="7" customWidth="1"/>
    <col min="15626" max="15626" width="16.5703125" style="7" customWidth="1"/>
    <col min="15627" max="15627" width="16.28515625" style="7" customWidth="1"/>
    <col min="15628" max="15630" width="0" style="7" hidden="1" customWidth="1"/>
    <col min="15631" max="15631" width="16.42578125" style="7" customWidth="1"/>
    <col min="15632" max="15632" width="17" style="7" customWidth="1"/>
    <col min="15633" max="15635" width="0" style="7" hidden="1" customWidth="1"/>
    <col min="15636" max="15636" width="16.42578125" style="7" customWidth="1"/>
    <col min="15637" max="15637" width="16.140625" style="7" customWidth="1"/>
    <col min="15638" max="15638" width="16" style="7" customWidth="1"/>
    <col min="15639" max="15639" width="16.28515625" style="7" customWidth="1"/>
    <col min="15640" max="15640" width="14.5703125" style="7" customWidth="1"/>
    <col min="15641" max="15641" width="15.85546875" style="7" customWidth="1"/>
    <col min="15642" max="15642" width="15.140625" style="7" customWidth="1"/>
    <col min="15643" max="15643" width="16" style="7" customWidth="1"/>
    <col min="15644" max="15644" width="16.5703125" style="7" customWidth="1"/>
    <col min="15645" max="15868" width="9.140625" style="7"/>
    <col min="15869" max="15869" width="8.28515625" style="7" customWidth="1"/>
    <col min="15870" max="15870" width="26.140625" style="7" customWidth="1"/>
    <col min="15871" max="15873" width="11.28515625" style="7" customWidth="1"/>
    <col min="15874" max="15874" width="10.28515625" style="7" customWidth="1"/>
    <col min="15875" max="15875" width="15.5703125" style="7" customWidth="1"/>
    <col min="15876" max="15876" width="16" style="7" customWidth="1"/>
    <col min="15877" max="15879" width="0" style="7" hidden="1" customWidth="1"/>
    <col min="15880" max="15880" width="17.140625" style="7" customWidth="1"/>
    <col min="15881" max="15881" width="16.85546875" style="7" customWidth="1"/>
    <col min="15882" max="15882" width="16.5703125" style="7" customWidth="1"/>
    <col min="15883" max="15883" width="16.28515625" style="7" customWidth="1"/>
    <col min="15884" max="15886" width="0" style="7" hidden="1" customWidth="1"/>
    <col min="15887" max="15887" width="16.42578125" style="7" customWidth="1"/>
    <col min="15888" max="15888" width="17" style="7" customWidth="1"/>
    <col min="15889" max="15891" width="0" style="7" hidden="1" customWidth="1"/>
    <col min="15892" max="15892" width="16.42578125" style="7" customWidth="1"/>
    <col min="15893" max="15893" width="16.140625" style="7" customWidth="1"/>
    <col min="15894" max="15894" width="16" style="7" customWidth="1"/>
    <col min="15895" max="15895" width="16.28515625" style="7" customWidth="1"/>
    <col min="15896" max="15896" width="14.5703125" style="7" customWidth="1"/>
    <col min="15897" max="15897" width="15.85546875" style="7" customWidth="1"/>
    <col min="15898" max="15898" width="15.140625" style="7" customWidth="1"/>
    <col min="15899" max="15899" width="16" style="7" customWidth="1"/>
    <col min="15900" max="15900" width="16.5703125" style="7" customWidth="1"/>
    <col min="15901" max="16124" width="9.140625" style="7"/>
    <col min="16125" max="16125" width="8.28515625" style="7" customWidth="1"/>
    <col min="16126" max="16126" width="26.140625" style="7" customWidth="1"/>
    <col min="16127" max="16129" width="11.28515625" style="7" customWidth="1"/>
    <col min="16130" max="16130" width="10.28515625" style="7" customWidth="1"/>
    <col min="16131" max="16131" width="15.5703125" style="7" customWidth="1"/>
    <col min="16132" max="16132" width="16" style="7" customWidth="1"/>
    <col min="16133" max="16135" width="0" style="7" hidden="1" customWidth="1"/>
    <col min="16136" max="16136" width="17.140625" style="7" customWidth="1"/>
    <col min="16137" max="16137" width="16.85546875" style="7" customWidth="1"/>
    <col min="16138" max="16138" width="16.5703125" style="7" customWidth="1"/>
    <col min="16139" max="16139" width="16.28515625" style="7" customWidth="1"/>
    <col min="16140" max="16142" width="0" style="7" hidden="1" customWidth="1"/>
    <col min="16143" max="16143" width="16.42578125" style="7" customWidth="1"/>
    <col min="16144" max="16144" width="17" style="7" customWidth="1"/>
    <col min="16145" max="16147" width="0" style="7" hidden="1" customWidth="1"/>
    <col min="16148" max="16148" width="16.42578125" style="7" customWidth="1"/>
    <col min="16149" max="16149" width="16.140625" style="7" customWidth="1"/>
    <col min="16150" max="16150" width="16" style="7" customWidth="1"/>
    <col min="16151" max="16151" width="16.28515625" style="7" customWidth="1"/>
    <col min="16152" max="16152" width="14.5703125" style="7" customWidth="1"/>
    <col min="16153" max="16153" width="15.85546875" style="7" customWidth="1"/>
    <col min="16154" max="16154" width="15.140625" style="7" customWidth="1"/>
    <col min="16155" max="16155" width="16" style="7" customWidth="1"/>
    <col min="16156" max="16156" width="16.5703125" style="7" customWidth="1"/>
    <col min="16157" max="16384" width="9.140625" style="7"/>
  </cols>
  <sheetData>
    <row r="1" spans="1:40">
      <c r="A1" s="4"/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W1" s="6"/>
    </row>
    <row r="2" spans="1:40" s="9" customFormat="1" ht="51.75" customHeight="1">
      <c r="A2" s="8"/>
      <c r="B2" s="8"/>
      <c r="C2" s="51" t="s">
        <v>244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8"/>
      <c r="S2" s="8"/>
      <c r="T2" s="8"/>
      <c r="U2" s="8"/>
      <c r="V2" s="53"/>
      <c r="W2" s="8"/>
    </row>
    <row r="3" spans="1:40">
      <c r="A3" s="10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6"/>
      <c r="P3" s="6"/>
      <c r="Q3" s="6"/>
      <c r="R3" s="6"/>
      <c r="S3" s="6"/>
      <c r="T3" s="6"/>
      <c r="U3" s="6"/>
      <c r="W3" s="6"/>
      <c r="Z3" s="6" t="s">
        <v>59</v>
      </c>
      <c r="AA3" s="12"/>
      <c r="AB3" s="12"/>
    </row>
    <row r="4" spans="1:40" ht="67.5" customHeight="1">
      <c r="A4" s="57" t="s">
        <v>7</v>
      </c>
      <c r="B4" s="48" t="s">
        <v>20</v>
      </c>
      <c r="C4" s="58" t="s">
        <v>8</v>
      </c>
      <c r="D4" s="59"/>
      <c r="E4" s="59"/>
      <c r="F4" s="59"/>
      <c r="G4" s="59"/>
      <c r="H4" s="60"/>
      <c r="I4" s="58" t="s">
        <v>240</v>
      </c>
      <c r="J4" s="59"/>
      <c r="K4" s="60"/>
      <c r="L4" s="13"/>
      <c r="M4" s="13"/>
      <c r="N4" s="13"/>
      <c r="O4" s="58" t="s">
        <v>297</v>
      </c>
      <c r="P4" s="59"/>
      <c r="Q4" s="59"/>
      <c r="R4" s="59"/>
      <c r="S4" s="59"/>
      <c r="T4" s="60"/>
      <c r="U4" s="58" t="s">
        <v>298</v>
      </c>
      <c r="V4" s="59"/>
      <c r="W4" s="59"/>
      <c r="X4" s="58" t="s">
        <v>9</v>
      </c>
      <c r="Y4" s="59"/>
      <c r="Z4" s="59"/>
      <c r="AA4" s="59"/>
      <c r="AB4" s="60"/>
      <c r="AF4" s="70"/>
      <c r="AG4" s="70"/>
      <c r="AH4" s="70"/>
      <c r="AI4" s="70"/>
      <c r="AJ4" s="70"/>
      <c r="AK4" s="14"/>
      <c r="AL4" s="14"/>
      <c r="AM4" s="14"/>
      <c r="AN4" s="14"/>
    </row>
    <row r="5" spans="1:40" ht="36" customHeight="1">
      <c r="A5" s="57"/>
      <c r="B5" s="49"/>
      <c r="C5" s="69" t="s">
        <v>309</v>
      </c>
      <c r="D5" s="63" t="s">
        <v>325</v>
      </c>
      <c r="E5" s="64"/>
      <c r="F5" s="64"/>
      <c r="G5" s="65"/>
      <c r="H5" s="69" t="s">
        <v>326</v>
      </c>
      <c r="I5" s="69" t="s">
        <v>309</v>
      </c>
      <c r="J5" s="61" t="s">
        <v>325</v>
      </c>
      <c r="K5" s="63" t="s">
        <v>326</v>
      </c>
      <c r="L5" s="64"/>
      <c r="M5" s="64"/>
      <c r="N5" s="65"/>
      <c r="O5" s="69" t="s">
        <v>309</v>
      </c>
      <c r="P5" s="61" t="s">
        <v>325</v>
      </c>
      <c r="Q5" s="63" t="s">
        <v>326</v>
      </c>
      <c r="R5" s="64"/>
      <c r="S5" s="64"/>
      <c r="T5" s="65"/>
      <c r="U5" s="69" t="s">
        <v>309</v>
      </c>
      <c r="V5" s="71" t="s">
        <v>325</v>
      </c>
      <c r="W5" s="69" t="s">
        <v>326</v>
      </c>
      <c r="X5" s="69" t="s">
        <v>309</v>
      </c>
      <c r="Y5" s="73" t="s">
        <v>325</v>
      </c>
      <c r="Z5" s="69" t="s">
        <v>326</v>
      </c>
      <c r="AA5" s="73" t="s">
        <v>241</v>
      </c>
      <c r="AB5" s="73" t="s">
        <v>242</v>
      </c>
      <c r="AC5" s="14"/>
      <c r="AD5" s="14"/>
      <c r="AE5" s="14"/>
      <c r="AF5" s="70"/>
      <c r="AG5" s="70"/>
      <c r="AH5" s="70"/>
      <c r="AI5" s="70"/>
      <c r="AJ5" s="70"/>
      <c r="AK5" s="70"/>
      <c r="AL5" s="70"/>
      <c r="AM5" s="70"/>
      <c r="AN5" s="70"/>
    </row>
    <row r="6" spans="1:40" ht="44.25" customHeight="1">
      <c r="A6" s="57"/>
      <c r="B6" s="50"/>
      <c r="C6" s="69"/>
      <c r="D6" s="66"/>
      <c r="E6" s="67"/>
      <c r="F6" s="67"/>
      <c r="G6" s="68"/>
      <c r="H6" s="69"/>
      <c r="I6" s="69"/>
      <c r="J6" s="62"/>
      <c r="K6" s="66"/>
      <c r="L6" s="67"/>
      <c r="M6" s="67"/>
      <c r="N6" s="68"/>
      <c r="O6" s="69"/>
      <c r="P6" s="62"/>
      <c r="Q6" s="66"/>
      <c r="R6" s="67"/>
      <c r="S6" s="67"/>
      <c r="T6" s="68"/>
      <c r="U6" s="69"/>
      <c r="V6" s="72"/>
      <c r="W6" s="69"/>
      <c r="X6" s="69"/>
      <c r="Y6" s="74"/>
      <c r="Z6" s="69"/>
      <c r="AA6" s="74"/>
      <c r="AB6" s="74"/>
      <c r="AC6" s="14"/>
      <c r="AD6" s="14"/>
      <c r="AE6" s="14"/>
      <c r="AF6" s="70"/>
      <c r="AG6" s="70"/>
      <c r="AH6" s="70"/>
      <c r="AI6" s="70"/>
      <c r="AJ6" s="70"/>
      <c r="AK6" s="70"/>
      <c r="AL6" s="70"/>
      <c r="AM6" s="70"/>
      <c r="AN6" s="70"/>
    </row>
    <row r="7" spans="1:40" ht="30" customHeight="1">
      <c r="A7" s="15">
        <v>1</v>
      </c>
      <c r="B7" s="46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5</v>
      </c>
      <c r="I7" s="15">
        <v>6</v>
      </c>
      <c r="J7" s="15">
        <v>7</v>
      </c>
      <c r="K7" s="15">
        <v>8</v>
      </c>
      <c r="L7" s="15">
        <v>15</v>
      </c>
      <c r="M7" s="15">
        <v>16</v>
      </c>
      <c r="N7" s="15">
        <v>17</v>
      </c>
      <c r="O7" s="16">
        <v>9</v>
      </c>
      <c r="P7" s="16">
        <v>10</v>
      </c>
      <c r="Q7" s="16">
        <v>20</v>
      </c>
      <c r="R7" s="16">
        <v>21</v>
      </c>
      <c r="S7" s="16">
        <v>22</v>
      </c>
      <c r="T7" s="16">
        <v>11</v>
      </c>
      <c r="U7" s="16">
        <v>12</v>
      </c>
      <c r="V7" s="54">
        <v>13</v>
      </c>
      <c r="W7" s="17">
        <v>14</v>
      </c>
      <c r="X7" s="18">
        <v>15</v>
      </c>
      <c r="Y7" s="18">
        <v>16</v>
      </c>
      <c r="Z7" s="18">
        <v>17</v>
      </c>
      <c r="AA7" s="15">
        <v>18</v>
      </c>
      <c r="AB7" s="15">
        <v>19</v>
      </c>
      <c r="AC7" s="19"/>
      <c r="AD7" s="19"/>
      <c r="AE7" s="19"/>
      <c r="AF7" s="4"/>
      <c r="AG7" s="4"/>
      <c r="AH7" s="4"/>
      <c r="AI7" s="4"/>
      <c r="AJ7" s="4"/>
      <c r="AK7" s="4"/>
      <c r="AL7" s="4"/>
      <c r="AM7" s="4"/>
      <c r="AN7" s="4"/>
    </row>
    <row r="8" spans="1:40" ht="48" customHeight="1">
      <c r="A8" s="32">
        <v>1</v>
      </c>
      <c r="B8" s="47" t="s">
        <v>104</v>
      </c>
      <c r="C8" s="2">
        <f t="shared" ref="C8:S8" si="0">SUM(C9:C10,)</f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81.099999999999994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>SUM(T9:T11,)</f>
        <v>158.9</v>
      </c>
      <c r="U8" s="2">
        <f>SUM(U9:U10,)</f>
        <v>0</v>
      </c>
      <c r="V8" s="3">
        <f>SUM(V9:V10,)</f>
        <v>0</v>
      </c>
      <c r="W8" s="3">
        <f>SUM(W9:W10,)</f>
        <v>0</v>
      </c>
      <c r="X8" s="20">
        <f>SUM(X9:X10,)</f>
        <v>81.099999999999994</v>
      </c>
      <c r="Y8" s="20">
        <f>SUM(Y9:Y10,)</f>
        <v>0</v>
      </c>
      <c r="Z8" s="20">
        <f>SUM(Z9:Z11,)</f>
        <v>158.9</v>
      </c>
      <c r="AA8" s="3">
        <f t="shared" ref="AA8" si="1">Z8-Y8</f>
        <v>158.9</v>
      </c>
      <c r="AB8" s="56" t="e">
        <f t="shared" ref="AB8" si="2">Z8/Y8*100</f>
        <v>#DIV/0!</v>
      </c>
      <c r="AC8" s="21"/>
      <c r="AD8" s="21"/>
      <c r="AE8" s="21"/>
      <c r="AH8" s="22"/>
      <c r="AI8" s="22"/>
      <c r="AJ8" s="22"/>
      <c r="AK8" s="22"/>
      <c r="AL8" s="22"/>
      <c r="AM8" s="22"/>
      <c r="AN8" s="21"/>
    </row>
    <row r="9" spans="1:40" ht="60.75" customHeight="1">
      <c r="A9" s="32"/>
      <c r="B9" s="46" t="s">
        <v>320</v>
      </c>
      <c r="C9" s="23"/>
      <c r="D9" s="23"/>
      <c r="E9" s="23"/>
      <c r="F9" s="23"/>
      <c r="G9" s="23"/>
      <c r="H9" s="23"/>
      <c r="I9" s="23"/>
      <c r="J9" s="23"/>
      <c r="K9" s="24"/>
      <c r="L9" s="23"/>
      <c r="M9" s="23"/>
      <c r="N9" s="23"/>
      <c r="O9" s="23">
        <v>51.1</v>
      </c>
      <c r="P9" s="25">
        <v>0</v>
      </c>
      <c r="Q9" s="25"/>
      <c r="R9" s="25"/>
      <c r="S9" s="25"/>
      <c r="T9" s="23"/>
      <c r="U9" s="26"/>
      <c r="V9" s="28"/>
      <c r="W9" s="26"/>
      <c r="X9" s="27">
        <f t="shared" ref="X9:X10" si="3">SUM(C9,I9,O9,U9)</f>
        <v>51.1</v>
      </c>
      <c r="Y9" s="27">
        <f t="shared" ref="Y9:Y10" si="4">SUM(D9,J9,P9,V9)</f>
        <v>0</v>
      </c>
      <c r="Z9" s="27">
        <f t="shared" ref="Z9:Z10" si="5">SUM(H9,K9,T9,W9)</f>
        <v>0</v>
      </c>
      <c r="AA9" s="28">
        <f t="shared" ref="AA9:AA10" si="6">Z9-Y9</f>
        <v>0</v>
      </c>
      <c r="AB9" s="44" t="e">
        <f t="shared" ref="AB9:AB10" si="7">Z9/Y9*100</f>
        <v>#DIV/0!</v>
      </c>
      <c r="AC9" s="29"/>
      <c r="AD9" s="29"/>
      <c r="AE9" s="29"/>
      <c r="AH9" s="30"/>
      <c r="AI9" s="30"/>
      <c r="AJ9" s="30"/>
      <c r="AK9" s="29"/>
      <c r="AL9" s="29"/>
      <c r="AM9" s="29"/>
      <c r="AN9" s="31"/>
    </row>
    <row r="10" spans="1:40" ht="34.5" customHeight="1">
      <c r="A10" s="32"/>
      <c r="B10" s="46" t="str">
        <f>'Розшифровка кап'!A8</f>
        <v>Генератор (1шт І квартал 2023р.)</v>
      </c>
      <c r="C10" s="23"/>
      <c r="D10" s="23"/>
      <c r="E10" s="23"/>
      <c r="F10" s="23"/>
      <c r="G10" s="23"/>
      <c r="H10" s="23"/>
      <c r="I10" s="23"/>
      <c r="J10" s="23"/>
      <c r="K10" s="24"/>
      <c r="L10" s="23"/>
      <c r="M10" s="23"/>
      <c r="N10" s="23"/>
      <c r="O10" s="23">
        <v>30</v>
      </c>
      <c r="P10" s="25">
        <v>0</v>
      </c>
      <c r="Q10" s="25"/>
      <c r="R10" s="25"/>
      <c r="S10" s="25"/>
      <c r="T10" s="23"/>
      <c r="U10" s="26"/>
      <c r="V10" s="28"/>
      <c r="W10" s="26"/>
      <c r="X10" s="27">
        <f t="shared" si="3"/>
        <v>30</v>
      </c>
      <c r="Y10" s="27">
        <f t="shared" si="4"/>
        <v>0</v>
      </c>
      <c r="Z10" s="27">
        <f t="shared" si="5"/>
        <v>0</v>
      </c>
      <c r="AA10" s="28">
        <f t="shared" si="6"/>
        <v>0</v>
      </c>
      <c r="AB10" s="44" t="e">
        <f t="shared" si="7"/>
        <v>#DIV/0!</v>
      </c>
      <c r="AC10" s="29"/>
      <c r="AD10" s="29"/>
      <c r="AE10" s="29"/>
      <c r="AH10" s="30"/>
      <c r="AI10" s="30"/>
      <c r="AJ10" s="30"/>
      <c r="AK10" s="29"/>
      <c r="AL10" s="29"/>
      <c r="AM10" s="29"/>
      <c r="AN10" s="31"/>
    </row>
    <row r="11" spans="1:40" ht="34.5" customHeight="1">
      <c r="A11" s="32"/>
      <c r="B11" s="46" t="s">
        <v>334</v>
      </c>
      <c r="C11" s="23"/>
      <c r="D11" s="23"/>
      <c r="E11" s="23"/>
      <c r="F11" s="23"/>
      <c r="G11" s="23"/>
      <c r="H11" s="23"/>
      <c r="I11" s="23"/>
      <c r="J11" s="23"/>
      <c r="K11" s="24"/>
      <c r="L11" s="23"/>
      <c r="M11" s="23"/>
      <c r="N11" s="23"/>
      <c r="O11" s="23"/>
      <c r="P11" s="25"/>
      <c r="Q11" s="25"/>
      <c r="R11" s="25"/>
      <c r="S11" s="25"/>
      <c r="T11" s="23">
        <v>158.9</v>
      </c>
      <c r="U11" s="26"/>
      <c r="V11" s="28"/>
      <c r="W11" s="26"/>
      <c r="X11" s="27">
        <f t="shared" ref="X11" si="8">SUM(C11,I11,O11,U11)</f>
        <v>0</v>
      </c>
      <c r="Y11" s="27">
        <f t="shared" ref="Y11" si="9">SUM(D11,J11,P11,V11)</f>
        <v>0</v>
      </c>
      <c r="Z11" s="27">
        <f t="shared" ref="Z11" si="10">SUM(H11,K11,T11,W11)</f>
        <v>158.9</v>
      </c>
      <c r="AA11" s="28">
        <f t="shared" ref="AA11" si="11">Z11-Y11</f>
        <v>158.9</v>
      </c>
      <c r="AB11" s="44" t="e">
        <f t="shared" ref="AB11" si="12">Z11/Y11*100</f>
        <v>#DIV/0!</v>
      </c>
      <c r="AC11" s="29"/>
      <c r="AD11" s="29"/>
      <c r="AE11" s="29"/>
      <c r="AH11" s="30"/>
      <c r="AI11" s="30"/>
      <c r="AJ11" s="30"/>
      <c r="AK11" s="29"/>
      <c r="AL11" s="29"/>
      <c r="AM11" s="29"/>
      <c r="AN11" s="31"/>
    </row>
    <row r="12" spans="1:40" ht="54.75" customHeight="1">
      <c r="A12" s="32">
        <v>2</v>
      </c>
      <c r="B12" s="47" t="s">
        <v>105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>
        <v>21.6</v>
      </c>
      <c r="V12" s="3">
        <v>400</v>
      </c>
      <c r="W12" s="3"/>
      <c r="X12" s="20">
        <f t="shared" ref="X12:Y12" si="13">SUM(C12,I12,O12,U12)</f>
        <v>21.6</v>
      </c>
      <c r="Y12" s="20">
        <f t="shared" si="13"/>
        <v>400</v>
      </c>
      <c r="Z12" s="20">
        <f t="shared" ref="Z12" si="14">SUM(H12,K12,T12,W12)</f>
        <v>0</v>
      </c>
      <c r="AA12" s="3">
        <f t="shared" ref="AA12" si="15">Z12-Y12</f>
        <v>-400</v>
      </c>
      <c r="AB12" s="1">
        <f t="shared" ref="AB12" si="16">Z12/Y12*100</f>
        <v>0</v>
      </c>
      <c r="AC12" s="21"/>
      <c r="AD12" s="21"/>
      <c r="AE12" s="21"/>
      <c r="AH12" s="22"/>
      <c r="AI12" s="22"/>
      <c r="AJ12" s="22"/>
      <c r="AK12" s="22"/>
      <c r="AL12" s="22"/>
      <c r="AM12" s="22"/>
      <c r="AN12" s="21"/>
    </row>
    <row r="13" spans="1:40" ht="40.5" customHeight="1">
      <c r="A13" s="75" t="s">
        <v>9</v>
      </c>
      <c r="B13" s="76"/>
      <c r="C13" s="33">
        <f t="shared" ref="C13:AA13" si="17">SUM(C8,C12,)</f>
        <v>0</v>
      </c>
      <c r="D13" s="33">
        <f t="shared" si="17"/>
        <v>0</v>
      </c>
      <c r="E13" s="33">
        <f t="shared" si="17"/>
        <v>0</v>
      </c>
      <c r="F13" s="33">
        <f t="shared" si="17"/>
        <v>0</v>
      </c>
      <c r="G13" s="33">
        <f t="shared" si="17"/>
        <v>0</v>
      </c>
      <c r="H13" s="33">
        <f t="shared" si="17"/>
        <v>0</v>
      </c>
      <c r="I13" s="33">
        <f t="shared" si="17"/>
        <v>0</v>
      </c>
      <c r="J13" s="33">
        <f t="shared" si="17"/>
        <v>0</v>
      </c>
      <c r="K13" s="33">
        <f t="shared" si="17"/>
        <v>0</v>
      </c>
      <c r="L13" s="33">
        <f t="shared" si="17"/>
        <v>0</v>
      </c>
      <c r="M13" s="33">
        <f t="shared" si="17"/>
        <v>0</v>
      </c>
      <c r="N13" s="33">
        <f t="shared" si="17"/>
        <v>0</v>
      </c>
      <c r="O13" s="33">
        <f t="shared" si="17"/>
        <v>81.099999999999994</v>
      </c>
      <c r="P13" s="33">
        <f t="shared" si="17"/>
        <v>0</v>
      </c>
      <c r="Q13" s="33">
        <f t="shared" si="17"/>
        <v>0</v>
      </c>
      <c r="R13" s="33">
        <f t="shared" si="17"/>
        <v>0</v>
      </c>
      <c r="S13" s="33">
        <f t="shared" si="17"/>
        <v>0</v>
      </c>
      <c r="T13" s="33">
        <f t="shared" si="17"/>
        <v>158.9</v>
      </c>
      <c r="U13" s="33">
        <f t="shared" si="17"/>
        <v>21.6</v>
      </c>
      <c r="V13" s="3">
        <f t="shared" si="17"/>
        <v>400</v>
      </c>
      <c r="W13" s="33">
        <f t="shared" si="17"/>
        <v>0</v>
      </c>
      <c r="X13" s="33">
        <f t="shared" si="17"/>
        <v>102.69999999999999</v>
      </c>
      <c r="Y13" s="33">
        <f t="shared" si="17"/>
        <v>400</v>
      </c>
      <c r="Z13" s="33">
        <f t="shared" si="17"/>
        <v>158.9</v>
      </c>
      <c r="AA13" s="33">
        <f t="shared" si="17"/>
        <v>-241.1</v>
      </c>
      <c r="AB13" s="3">
        <f>Z13/Y13*100</f>
        <v>39.725000000000001</v>
      </c>
      <c r="AC13" s="21"/>
      <c r="AD13" s="21"/>
      <c r="AE13" s="21"/>
      <c r="AH13" s="21"/>
      <c r="AI13" s="21"/>
      <c r="AJ13" s="21"/>
      <c r="AK13" s="21"/>
      <c r="AL13" s="21"/>
      <c r="AM13" s="21"/>
      <c r="AN13" s="21"/>
    </row>
    <row r="14" spans="1:40" ht="20.100000000000001" customHeight="1">
      <c r="A14" s="19"/>
      <c r="B14" s="19"/>
      <c r="C14" s="34"/>
      <c r="D14" s="34"/>
      <c r="E14" s="34"/>
      <c r="F14" s="34"/>
      <c r="G14" s="34"/>
      <c r="H14" s="34"/>
      <c r="I14" s="34"/>
      <c r="J14" s="34"/>
      <c r="K14" s="34"/>
      <c r="L14" s="19"/>
      <c r="M14" s="19"/>
      <c r="N14" s="19"/>
      <c r="O14" s="19"/>
      <c r="P14" s="34"/>
      <c r="Q14" s="19"/>
      <c r="R14" s="19"/>
      <c r="S14" s="19"/>
      <c r="T14" s="19"/>
      <c r="U14" s="6"/>
    </row>
    <row r="15" spans="1:40" ht="14.25" customHeight="1">
      <c r="A15" s="35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"/>
      <c r="P15" s="6"/>
      <c r="Q15" s="6"/>
      <c r="R15" s="6"/>
      <c r="S15" s="6"/>
      <c r="T15" s="6"/>
      <c r="U15" s="6"/>
      <c r="W15" s="6"/>
    </row>
    <row r="16" spans="1:40" ht="19.5" hidden="1" customHeight="1">
      <c r="A16" s="35"/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6"/>
      <c r="P16" s="6"/>
      <c r="Q16" s="6"/>
      <c r="R16" s="6"/>
      <c r="S16" s="6"/>
      <c r="T16" s="6"/>
      <c r="U16" s="6"/>
      <c r="W16" s="6"/>
    </row>
    <row r="17" spans="1:26" s="37" customFormat="1" ht="20.100000000000001" customHeight="1">
      <c r="A17" s="4"/>
      <c r="B17" s="4"/>
      <c r="C17" s="8"/>
      <c r="D17" s="8"/>
      <c r="E17" s="8"/>
      <c r="F17" s="8"/>
      <c r="G17" s="8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5"/>
      <c r="W17" s="4"/>
    </row>
    <row r="18" spans="1:26" s="40" customFormat="1" ht="36" customHeight="1">
      <c r="A18" s="38"/>
      <c r="B18" s="45" t="s">
        <v>243</v>
      </c>
      <c r="C18" s="39"/>
      <c r="D18" s="39"/>
      <c r="E18" s="39"/>
      <c r="F18" s="39"/>
      <c r="G18" s="39"/>
      <c r="H18" s="79"/>
      <c r="I18" s="79"/>
      <c r="J18" s="38"/>
      <c r="K18" s="38"/>
      <c r="L18" s="38"/>
      <c r="M18" s="38"/>
      <c r="N18" s="38"/>
      <c r="O18" s="82"/>
      <c r="P18" s="82"/>
      <c r="T18" s="38"/>
      <c r="U18" s="38"/>
      <c r="V18" s="80" t="s">
        <v>279</v>
      </c>
      <c r="W18" s="80"/>
      <c r="X18" s="80"/>
      <c r="Y18" s="80"/>
      <c r="Z18" s="80"/>
    </row>
    <row r="19" spans="1:26" s="37" customFormat="1" ht="27" customHeight="1">
      <c r="A19" s="4"/>
      <c r="B19" s="41"/>
      <c r="C19" s="41"/>
      <c r="D19" s="41"/>
      <c r="E19" s="41"/>
      <c r="F19" s="41"/>
      <c r="G19" s="41"/>
      <c r="H19" s="4"/>
      <c r="I19" s="41"/>
      <c r="J19" s="41"/>
      <c r="K19" s="41"/>
      <c r="L19" s="41"/>
      <c r="M19" s="4"/>
      <c r="N19" s="4"/>
      <c r="O19" s="83" t="s">
        <v>11</v>
      </c>
      <c r="P19" s="83"/>
      <c r="T19" s="4"/>
      <c r="U19" s="4"/>
      <c r="V19" s="81" t="s">
        <v>16</v>
      </c>
      <c r="W19" s="81"/>
      <c r="X19" s="81"/>
      <c r="Y19" s="81"/>
      <c r="Z19" s="81"/>
    </row>
    <row r="20" spans="1:26" ht="20.100000000000001" customHeight="1">
      <c r="A20" s="6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6"/>
      <c r="P20" s="6"/>
      <c r="Q20" s="6"/>
      <c r="R20" s="6"/>
      <c r="S20" s="6"/>
      <c r="T20" s="6"/>
      <c r="U20" s="6"/>
      <c r="W20" s="6"/>
    </row>
    <row r="21" spans="1:26" ht="20.100000000000001" customHeight="1">
      <c r="A21" s="6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6"/>
      <c r="P21" s="6"/>
      <c r="Q21" s="6"/>
      <c r="R21" s="6"/>
      <c r="S21" s="6"/>
      <c r="T21" s="6"/>
      <c r="U21" s="6"/>
      <c r="W21" s="6"/>
    </row>
    <row r="22" spans="1:26">
      <c r="A22" s="6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6"/>
      <c r="P22" s="6"/>
      <c r="Q22" s="6"/>
      <c r="R22" s="6"/>
      <c r="S22" s="6"/>
      <c r="T22" s="6"/>
      <c r="U22" s="6"/>
      <c r="W22" s="6"/>
    </row>
    <row r="23" spans="1:26" s="78" customFormat="1" ht="19.149999999999999" customHeight="1">
      <c r="A23" s="77" t="s">
        <v>60</v>
      </c>
    </row>
    <row r="26" spans="1:26">
      <c r="B26" s="43"/>
    </row>
    <row r="27" spans="1:26">
      <c r="B27" s="43"/>
    </row>
    <row r="28" spans="1:26">
      <c r="B28" s="43"/>
    </row>
    <row r="29" spans="1:26">
      <c r="B29" s="43"/>
    </row>
    <row r="30" spans="1:26">
      <c r="B30" s="43"/>
    </row>
    <row r="31" spans="1:26">
      <c r="B31" s="43"/>
    </row>
    <row r="32" spans="1:26">
      <c r="B32" s="43"/>
    </row>
  </sheetData>
  <mergeCells count="37">
    <mergeCell ref="A13:B13"/>
    <mergeCell ref="A23:XFD23"/>
    <mergeCell ref="H18:I18"/>
    <mergeCell ref="V18:Z18"/>
    <mergeCell ref="V19:Z19"/>
    <mergeCell ref="O18:P18"/>
    <mergeCell ref="O19:P19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P5:P6"/>
    <mergeCell ref="Q5:T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 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КНП ЦПМСД5 КНП ЦПМСД5</cp:lastModifiedBy>
  <cp:lastPrinted>2024-09-09T08:20:05Z</cp:lastPrinted>
  <dcterms:created xsi:type="dcterms:W3CDTF">2003-03-13T16:00:22Z</dcterms:created>
  <dcterms:modified xsi:type="dcterms:W3CDTF">2025-01-29T07:22:36Z</dcterms:modified>
</cp:coreProperties>
</file>